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TMR or Feed Sample" sheetId="1" r:id="rId1"/>
    <sheet name="Total Diet Evaluation" sheetId="2" r:id="rId2"/>
    <sheet name="Appendix" sheetId="3" r:id="rId3"/>
    <sheet name="Sheet3" sheetId="4" state="hidden" r:id="rId4"/>
  </sheets>
  <definedNames>
    <definedName name="_xlnm.Print_Area" localSheetId="0">'TMR or Feed Sample'!$A$73:$J$112</definedName>
    <definedName name="_xlnm.Print_Area" localSheetId="1">'Total Diet Evaluation'!$A$53:$J$89</definedName>
  </definedNames>
  <calcPr fullCalcOnLoad="1"/>
</workbook>
</file>

<file path=xl/sharedStrings.xml><?xml version="1.0" encoding="utf-8"?>
<sst xmlns="http://schemas.openxmlformats.org/spreadsheetml/2006/main" count="200" uniqueCount="93">
  <si>
    <t>Name:</t>
  </si>
  <si>
    <t>Address</t>
  </si>
  <si>
    <t>Phone #:</t>
  </si>
  <si>
    <t>Inputs</t>
  </si>
  <si>
    <t>Sample ID:</t>
  </si>
  <si>
    <t>or</t>
  </si>
  <si>
    <t>Sulfate</t>
  </si>
  <si>
    <t>Animal weight:</t>
  </si>
  <si>
    <t>DM Basis</t>
  </si>
  <si>
    <t>Report Analysis Values as -</t>
  </si>
  <si>
    <t>mg s/day</t>
  </si>
  <si>
    <t>total mg s/d</t>
  </si>
  <si>
    <t>AF Basis</t>
  </si>
  <si>
    <t>Air Temperture - degrees F</t>
  </si>
  <si>
    <t>Outputs</t>
  </si>
  <si>
    <t>ppm</t>
  </si>
  <si>
    <t>%</t>
  </si>
  <si>
    <t>max S intake mg</t>
  </si>
  <si>
    <t>after water</t>
  </si>
  <si>
    <t>mg S from diet</t>
  </si>
  <si>
    <t>Daily feed intake:</t>
  </si>
  <si>
    <t>Prepared by:</t>
  </si>
  <si>
    <t>lbs.</t>
  </si>
  <si>
    <t>kg.</t>
  </si>
  <si>
    <t>kg. DMI</t>
  </si>
  <si>
    <t xml:space="preserve">  1 = TMR Sample, 2 = Feed Ingredient Sample</t>
  </si>
  <si>
    <t>.15x</t>
  </si>
  <si>
    <t>y=</t>
  </si>
  <si>
    <t>DM</t>
  </si>
  <si>
    <t>AF</t>
  </si>
  <si>
    <t>Maximum feeding rate of feedstuff</t>
  </si>
  <si>
    <t>kg DM basis</t>
  </si>
  <si>
    <t>lbs. DM basis</t>
  </si>
  <si>
    <t>TMR or Feed Ingredient submitted:</t>
  </si>
  <si>
    <t>JMJ 2006</t>
  </si>
  <si>
    <t>Concentration in:</t>
  </si>
  <si>
    <t>A value of ' XXX ' = do not feed.  Sulfur intake is very high.</t>
  </si>
  <si>
    <t xml:space="preserve">  Sulfur Summary Sheet</t>
  </si>
  <si>
    <t>Current ration moisture:</t>
  </si>
  <si>
    <t>Sulfur</t>
  </si>
  <si>
    <t>Concentration in</t>
  </si>
  <si>
    <t>Daily sulfur intake  (grams)</t>
  </si>
  <si>
    <t>grams</t>
  </si>
  <si>
    <t>Sulfur as a percent of total diet</t>
  </si>
  <si>
    <t>Percent coming from water fraction</t>
  </si>
  <si>
    <t>Select Print from Excel menu to print report.</t>
  </si>
  <si>
    <t>DM Basis as %</t>
  </si>
  <si>
    <t>DM Basis as ppm</t>
  </si>
  <si>
    <r>
      <t xml:space="preserve">Current ration moisture </t>
    </r>
    <r>
      <rPr>
        <b/>
        <u val="single"/>
        <sz val="12"/>
        <color indexed="12"/>
        <rFont val="Arial"/>
        <family val="2"/>
      </rPr>
      <t>%</t>
    </r>
    <r>
      <rPr>
        <b/>
        <sz val="12"/>
        <rFont val="Arial"/>
        <family val="2"/>
      </rPr>
      <t>:</t>
    </r>
  </si>
  <si>
    <r>
      <t xml:space="preserve">Concentration in total ration   </t>
    </r>
    <r>
      <rPr>
        <b/>
        <u val="single"/>
        <sz val="12"/>
        <color indexed="12"/>
        <rFont val="Arial"/>
        <family val="2"/>
      </rPr>
      <t>(ppm)</t>
    </r>
  </si>
  <si>
    <r>
      <t xml:space="preserve">Concentration in water </t>
    </r>
    <r>
      <rPr>
        <b/>
        <sz val="12"/>
        <color indexed="12"/>
        <rFont val="Arial"/>
        <family val="2"/>
      </rPr>
      <t>(ppm)</t>
    </r>
  </si>
  <si>
    <r>
      <t xml:space="preserve">Concentration in total ration   </t>
    </r>
    <r>
      <rPr>
        <b/>
        <u val="single"/>
        <sz val="12"/>
        <color indexed="12"/>
        <rFont val="Arial"/>
        <family val="2"/>
      </rPr>
      <t>(%)</t>
    </r>
  </si>
  <si>
    <r>
      <t xml:space="preserve">  -  -   water   </t>
    </r>
    <r>
      <rPr>
        <b/>
        <u val="single"/>
        <sz val="12"/>
        <color indexed="12"/>
        <rFont val="Arial"/>
        <family val="2"/>
      </rPr>
      <t>(ppm)</t>
    </r>
  </si>
  <si>
    <r>
      <t xml:space="preserve">  -  -  existing ration  </t>
    </r>
    <r>
      <rPr>
        <b/>
        <u val="single"/>
        <sz val="12"/>
        <color indexed="12"/>
        <rFont val="Arial"/>
        <family val="2"/>
      </rPr>
      <t>(%)</t>
    </r>
  </si>
  <si>
    <r>
      <t xml:space="preserve">Feedstuff sample moisture </t>
    </r>
    <r>
      <rPr>
        <b/>
        <sz val="12"/>
        <color indexed="12"/>
        <rFont val="Arial"/>
        <family val="2"/>
      </rPr>
      <t>%</t>
    </r>
  </si>
  <si>
    <r>
      <t xml:space="preserve">Concentration in feedstuff   </t>
    </r>
    <r>
      <rPr>
        <b/>
        <u val="single"/>
        <sz val="12"/>
        <color indexed="12"/>
        <rFont val="Arial"/>
        <family val="2"/>
      </rPr>
      <t>(ppm)</t>
    </r>
  </si>
  <si>
    <r>
      <t xml:space="preserve">Concentration in feedstuff   </t>
    </r>
    <r>
      <rPr>
        <b/>
        <u val="single"/>
        <sz val="12"/>
        <color indexed="12"/>
        <rFont val="Arial"/>
        <family val="2"/>
      </rPr>
      <t>(%)</t>
    </r>
  </si>
  <si>
    <t>Feed Name</t>
  </si>
  <si>
    <t>% Moisture</t>
  </si>
  <si>
    <t>Water</t>
  </si>
  <si>
    <t>ppm Sulfur</t>
  </si>
  <si>
    <t>ppm Sulfate</t>
  </si>
  <si>
    <t>1 = ppm, 2 = %</t>
  </si>
  <si>
    <t>Feeds</t>
  </si>
  <si>
    <t>hay</t>
  </si>
  <si>
    <t>lb</t>
  </si>
  <si>
    <t>lbs. / day</t>
  </si>
  <si>
    <t>kg. / day</t>
  </si>
  <si>
    <t xml:space="preserve">lbs </t>
  </si>
  <si>
    <t>Sulfur as a percent of diet</t>
  </si>
  <si>
    <t>Sulfur intake per day - grams</t>
  </si>
  <si>
    <t>Sulfur intake per day - ounces</t>
  </si>
  <si>
    <t>% - DM basis</t>
  </si>
  <si>
    <t>grams per day</t>
  </si>
  <si>
    <t>ounces per day</t>
  </si>
  <si>
    <t xml:space="preserve">  Sulfur Summary Sheet - Total Diet</t>
  </si>
  <si>
    <t>* Cattle consuming diets at 0.4% or greater sulfur concentrations are at a potential risk for sulfur toxicocis.</t>
  </si>
  <si>
    <t>Sulfur Summary Sheet - Total Diet Evaluation</t>
  </si>
  <si>
    <t>Sulfur Summary Sheet - Sample Evaluation</t>
  </si>
  <si>
    <t>Concentration in feed on a 100 % DM Basis</t>
  </si>
  <si>
    <r>
      <t xml:space="preserve">Feed Analysis - </t>
    </r>
    <r>
      <rPr>
        <b/>
        <i/>
        <sz val="12"/>
        <color indexed="12"/>
        <rFont val="Arial"/>
        <family val="2"/>
      </rPr>
      <t>ppm</t>
    </r>
    <r>
      <rPr>
        <b/>
        <sz val="12"/>
        <color indexed="8"/>
        <rFont val="Arial"/>
        <family val="0"/>
      </rPr>
      <t xml:space="preserve"> or </t>
    </r>
    <r>
      <rPr>
        <b/>
        <i/>
        <sz val="12"/>
        <color indexed="12"/>
        <rFont val="Arial"/>
        <family val="2"/>
      </rPr>
      <t>%</t>
    </r>
  </si>
  <si>
    <t>Sulfur intake - % from water</t>
  </si>
  <si>
    <t>Sulfur - % of diet (feed &amp; water)</t>
  </si>
  <si>
    <t>VDPAM</t>
  </si>
  <si>
    <t>As-Fed lbs. Fed</t>
  </si>
  <si>
    <r>
      <t xml:space="preserve">Feed Analysis - </t>
    </r>
    <r>
      <rPr>
        <b/>
        <u val="single"/>
        <sz val="12"/>
        <rFont val="Arial"/>
        <family val="2"/>
      </rPr>
      <t>ppm</t>
    </r>
    <r>
      <rPr>
        <b/>
        <sz val="12"/>
        <rFont val="Arial"/>
        <family val="2"/>
      </rPr>
      <t xml:space="preserve"> </t>
    </r>
    <r>
      <rPr>
        <b/>
        <sz val="12"/>
        <color indexed="12"/>
        <rFont val="Arial"/>
        <family val="2"/>
      </rPr>
      <t>or</t>
    </r>
    <r>
      <rPr>
        <b/>
        <sz val="12"/>
        <rFont val="Arial"/>
        <family val="2"/>
      </rPr>
      <t xml:space="preserve"> </t>
    </r>
    <r>
      <rPr>
        <b/>
        <u val="single"/>
        <sz val="12"/>
        <rFont val="Arial"/>
        <family val="2"/>
      </rPr>
      <t>%</t>
    </r>
  </si>
  <si>
    <t>lbs. DMI</t>
  </si>
  <si>
    <t>As-Fed Basis</t>
  </si>
  <si>
    <t>kg - As -Fed basis</t>
  </si>
  <si>
    <t>lbs. - As -Fed basis</t>
  </si>
  <si>
    <t>lb. DMI</t>
  </si>
  <si>
    <t>silage</t>
  </si>
  <si>
    <t>grain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</si>
</sst>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0">
    <font>
      <sz val="10"/>
      <name val="Arial"/>
      <family val="0"/>
    </font>
    <font>
      <sz val="10"/>
      <color indexed="13"/>
      <name val="Arial"/>
      <family val="0"/>
    </font>
    <font>
      <b/>
      <sz val="36"/>
      <name val="Arial"/>
      <family val="2"/>
    </font>
    <font>
      <b/>
      <sz val="10"/>
      <name val="Bauhaus 93"/>
      <family val="5"/>
    </font>
    <font>
      <sz val="12"/>
      <name val="Arial"/>
      <family val="0"/>
    </font>
    <font>
      <b/>
      <sz val="12"/>
      <name val="Arial"/>
      <family val="2"/>
    </font>
    <font>
      <b/>
      <sz val="14"/>
      <color indexed="10"/>
      <name val="Arial"/>
      <family val="2"/>
    </font>
    <font>
      <sz val="8"/>
      <name val="Arial"/>
      <family val="0"/>
    </font>
    <font>
      <sz val="11"/>
      <name val="Arial"/>
      <family val="0"/>
    </font>
    <font>
      <b/>
      <i/>
      <sz val="10"/>
      <name val="Arial"/>
      <family val="2"/>
    </font>
    <font>
      <b/>
      <i/>
      <sz val="10"/>
      <color indexed="10"/>
      <name val="Arial"/>
      <family val="2"/>
    </font>
    <font>
      <sz val="10"/>
      <color indexed="10"/>
      <name val="Arial"/>
      <family val="0"/>
    </font>
    <font>
      <b/>
      <i/>
      <sz val="14"/>
      <color indexed="10"/>
      <name val="Arial"/>
      <family val="2"/>
    </font>
    <font>
      <i/>
      <sz val="11"/>
      <name val="Arial"/>
      <family val="2"/>
    </font>
    <font>
      <b/>
      <i/>
      <sz val="12"/>
      <name val="Arial"/>
      <family val="2"/>
    </font>
    <font>
      <b/>
      <sz val="11"/>
      <name val="Arial"/>
      <family val="2"/>
    </font>
    <font>
      <b/>
      <i/>
      <sz val="11"/>
      <name val="Arial"/>
      <family val="2"/>
    </font>
    <font>
      <b/>
      <i/>
      <sz val="12"/>
      <color indexed="10"/>
      <name val="Arial"/>
      <family val="2"/>
    </font>
    <font>
      <b/>
      <i/>
      <sz val="12"/>
      <color indexed="12"/>
      <name val="Arial"/>
      <family val="2"/>
    </font>
    <font>
      <b/>
      <i/>
      <sz val="10"/>
      <color indexed="12"/>
      <name val="Arial"/>
      <family val="2"/>
    </font>
    <font>
      <b/>
      <sz val="14"/>
      <name val="Arial"/>
      <family val="2"/>
    </font>
    <font>
      <b/>
      <sz val="18"/>
      <name val="Arial"/>
      <family val="2"/>
    </font>
    <font>
      <b/>
      <i/>
      <sz val="14"/>
      <color indexed="9"/>
      <name val="Arial"/>
      <family val="2"/>
    </font>
    <font>
      <sz val="10"/>
      <color indexed="9"/>
      <name val="Arial"/>
      <family val="2"/>
    </font>
    <font>
      <i/>
      <sz val="10"/>
      <name val="Arial"/>
      <family val="2"/>
    </font>
    <font>
      <i/>
      <sz val="12"/>
      <name val="Arial"/>
      <family val="2"/>
    </font>
    <font>
      <b/>
      <sz val="14"/>
      <color indexed="12"/>
      <name val="Arial"/>
      <family val="2"/>
    </font>
    <font>
      <b/>
      <i/>
      <sz val="16"/>
      <color indexed="12"/>
      <name val="Arial"/>
      <family val="2"/>
    </font>
    <font>
      <b/>
      <u val="single"/>
      <sz val="12"/>
      <color indexed="12"/>
      <name val="Arial"/>
      <family val="2"/>
    </font>
    <font>
      <b/>
      <sz val="12"/>
      <color indexed="12"/>
      <name val="Arial"/>
      <family val="2"/>
    </font>
    <font>
      <b/>
      <sz val="12"/>
      <color indexed="10"/>
      <name val="Arial"/>
      <family val="2"/>
    </font>
    <font>
      <b/>
      <i/>
      <sz val="11"/>
      <color indexed="10"/>
      <name val="Arial"/>
      <family val="2"/>
    </font>
    <font>
      <sz val="10"/>
      <color indexed="8"/>
      <name val="Arial"/>
      <family val="0"/>
    </font>
    <font>
      <b/>
      <sz val="12"/>
      <color indexed="8"/>
      <name val="Arial"/>
      <family val="0"/>
    </font>
    <font>
      <b/>
      <sz val="11"/>
      <color indexed="8"/>
      <name val="Arial"/>
      <family val="0"/>
    </font>
    <font>
      <b/>
      <i/>
      <sz val="10"/>
      <color indexed="8"/>
      <name val="Arial"/>
      <family val="0"/>
    </font>
    <font>
      <sz val="11"/>
      <color indexed="8"/>
      <name val="Arial"/>
      <family val="0"/>
    </font>
    <font>
      <b/>
      <sz val="14"/>
      <color indexed="8"/>
      <name val="Arial"/>
      <family val="0"/>
    </font>
    <font>
      <b/>
      <i/>
      <sz val="11"/>
      <color indexed="8"/>
      <name val="Arial"/>
      <family val="0"/>
    </font>
    <font>
      <i/>
      <sz val="11"/>
      <color indexed="8"/>
      <name val="Arial"/>
      <family val="0"/>
    </font>
    <font>
      <b/>
      <sz val="26"/>
      <name val="Arial"/>
      <family val="2"/>
    </font>
    <font>
      <b/>
      <sz val="10"/>
      <name val="Baskerville Old Face"/>
      <family val="1"/>
    </font>
    <font>
      <b/>
      <u val="single"/>
      <sz val="12"/>
      <name val="Arial"/>
      <family val="2"/>
    </font>
    <font>
      <b/>
      <sz val="10"/>
      <color indexed="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62"/>
      <name val="Arial"/>
      <family val="2"/>
    </font>
    <font>
      <b/>
      <i/>
      <sz val="14"/>
      <color indexed="62"/>
      <name val="Arial"/>
      <family val="2"/>
    </font>
    <font>
      <b/>
      <sz val="14"/>
      <color indexed="62"/>
      <name val="Arial"/>
      <family val="2"/>
    </font>
    <font>
      <b/>
      <i/>
      <sz val="12"/>
      <color indexed="62"/>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i/>
      <sz val="14"/>
      <color theme="0"/>
      <name val="Arial"/>
      <family val="2"/>
    </font>
    <font>
      <sz val="10"/>
      <color theme="0"/>
      <name val="Arial"/>
      <family val="2"/>
    </font>
    <font>
      <b/>
      <i/>
      <sz val="10"/>
      <color rgb="FF512888"/>
      <name val="Arial"/>
      <family val="2"/>
    </font>
    <font>
      <b/>
      <sz val="14"/>
      <color rgb="FF512888"/>
      <name val="Arial"/>
      <family val="2"/>
    </font>
    <font>
      <b/>
      <i/>
      <sz val="12"/>
      <color rgb="FF512888"/>
      <name val="Arial"/>
      <family val="2"/>
    </font>
    <font>
      <b/>
      <i/>
      <sz val="14"/>
      <color rgb="FF51288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rgb="FF512888"/>
        <bgColor indexed="64"/>
      </patternFill>
    </fill>
    <fill>
      <patternFill patternType="solid">
        <fgColor theme="0"/>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9">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0" borderId="0" xfId="0" applyFont="1" applyAlignment="1">
      <alignment horizontal="center"/>
    </xf>
    <xf numFmtId="0" fontId="3" fillId="0" borderId="0" xfId="0" applyFont="1" applyAlignment="1">
      <alignment/>
    </xf>
    <xf numFmtId="0" fontId="5" fillId="34" borderId="0" xfId="0" applyFont="1" applyFill="1" applyAlignment="1">
      <alignment/>
    </xf>
    <xf numFmtId="0" fontId="5" fillId="34" borderId="0" xfId="0" applyFont="1" applyFill="1" applyAlignment="1">
      <alignment horizontal="right"/>
    </xf>
    <xf numFmtId="0" fontId="6" fillId="34" borderId="0" xfId="0" applyFont="1" applyFill="1" applyAlignment="1">
      <alignment/>
    </xf>
    <xf numFmtId="0" fontId="10" fillId="34" borderId="0" xfId="0" applyFont="1" applyFill="1" applyAlignment="1">
      <alignment/>
    </xf>
    <xf numFmtId="0" fontId="11" fillId="35" borderId="0" xfId="0" applyFont="1" applyFill="1" applyAlignment="1">
      <alignment/>
    </xf>
    <xf numFmtId="0" fontId="0" fillId="34" borderId="0" xfId="0" applyFill="1" applyBorder="1" applyAlignment="1">
      <alignment/>
    </xf>
    <xf numFmtId="0" fontId="0" fillId="35" borderId="0" xfId="0" applyFont="1" applyFill="1" applyAlignment="1">
      <alignment/>
    </xf>
    <xf numFmtId="10" fontId="0" fillId="35" borderId="0" xfId="0" applyNumberFormat="1" applyFont="1" applyFill="1" applyAlignment="1">
      <alignment/>
    </xf>
    <xf numFmtId="0" fontId="15" fillId="0" borderId="12" xfId="0" applyFont="1" applyFill="1" applyBorder="1" applyAlignment="1" applyProtection="1">
      <alignment horizontal="center"/>
      <protection locked="0"/>
    </xf>
    <xf numFmtId="1" fontId="8" fillId="36" borderId="12" xfId="0" applyNumberFormat="1" applyFont="1" applyFill="1" applyBorder="1" applyAlignment="1">
      <alignment horizontal="center"/>
    </xf>
    <xf numFmtId="164" fontId="16" fillId="36" borderId="12" xfId="0" applyNumberFormat="1" applyFont="1" applyFill="1" applyBorder="1" applyAlignment="1">
      <alignment/>
    </xf>
    <xf numFmtId="0" fontId="19" fillId="34" borderId="0" xfId="0" applyFont="1" applyFill="1" applyAlignment="1">
      <alignment horizontal="center"/>
    </xf>
    <xf numFmtId="0" fontId="19" fillId="34" borderId="0" xfId="0" applyFont="1" applyFill="1" applyAlignment="1">
      <alignment/>
    </xf>
    <xf numFmtId="0" fontId="0" fillId="0" borderId="0" xfId="0" applyFont="1" applyFill="1" applyAlignment="1">
      <alignment/>
    </xf>
    <xf numFmtId="0" fontId="5" fillId="0" borderId="0" xfId="0" applyFont="1" applyFill="1" applyAlignment="1">
      <alignment horizontal="right"/>
    </xf>
    <xf numFmtId="0" fontId="0" fillId="0" borderId="0" xfId="0" applyFont="1" applyFill="1" applyAlignment="1">
      <alignment/>
    </xf>
    <xf numFmtId="0" fontId="5" fillId="0" borderId="0" xfId="0" applyFont="1" applyFill="1" applyAlignment="1">
      <alignment/>
    </xf>
    <xf numFmtId="0" fontId="9" fillId="0" borderId="0" xfId="0" applyFont="1" applyFill="1" applyAlignment="1">
      <alignment/>
    </xf>
    <xf numFmtId="1" fontId="8" fillId="0" borderId="12" xfId="0" applyNumberFormat="1" applyFont="1" applyFill="1" applyBorder="1" applyAlignment="1">
      <alignment horizontal="center"/>
    </xf>
    <xf numFmtId="0" fontId="0" fillId="0" borderId="0" xfId="0" applyFont="1" applyFill="1" applyAlignment="1">
      <alignment/>
    </xf>
    <xf numFmtId="0" fontId="21" fillId="0" borderId="0" xfId="0" applyFont="1" applyAlignment="1">
      <alignment/>
    </xf>
    <xf numFmtId="0" fontId="5" fillId="0" borderId="0" xfId="0" applyFont="1" applyFill="1" applyBorder="1" applyAlignment="1">
      <alignment horizontal="right"/>
    </xf>
    <xf numFmtId="0" fontId="22" fillId="35" borderId="0" xfId="0" applyFont="1" applyFill="1" applyAlignment="1">
      <alignment/>
    </xf>
    <xf numFmtId="0" fontId="23" fillId="35" borderId="0" xfId="0" applyFont="1" applyFill="1" applyAlignment="1">
      <alignment/>
    </xf>
    <xf numFmtId="0" fontId="20" fillId="0" borderId="13"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4" fillId="0" borderId="0" xfId="0" applyFont="1" applyAlignment="1">
      <alignment/>
    </xf>
    <xf numFmtId="0" fontId="24" fillId="0" borderId="0" xfId="0" applyFont="1" applyFill="1" applyAlignment="1">
      <alignment/>
    </xf>
    <xf numFmtId="0" fontId="5" fillId="0" borderId="0" xfId="0" applyFont="1" applyAlignment="1">
      <alignment/>
    </xf>
    <xf numFmtId="0" fontId="9" fillId="0" borderId="0" xfId="0" applyFont="1" applyAlignment="1">
      <alignment/>
    </xf>
    <xf numFmtId="0" fontId="16" fillId="0" borderId="0" xfId="0" applyFont="1" applyAlignment="1">
      <alignment/>
    </xf>
    <xf numFmtId="0" fontId="16" fillId="0" borderId="0" xfId="0" applyFont="1" applyFill="1" applyBorder="1" applyAlignment="1" applyProtection="1">
      <alignment horizontal="right"/>
      <protection locked="0"/>
    </xf>
    <xf numFmtId="0" fontId="23" fillId="0" borderId="0" xfId="0" applyFont="1" applyFill="1" applyBorder="1" applyAlignment="1">
      <alignment/>
    </xf>
    <xf numFmtId="0" fontId="25" fillId="0" borderId="0" xfId="0" applyFont="1" applyAlignment="1">
      <alignment/>
    </xf>
    <xf numFmtId="0" fontId="24" fillId="0" borderId="14" xfId="0"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18" xfId="0" applyFont="1" applyBorder="1" applyAlignment="1">
      <alignment/>
    </xf>
    <xf numFmtId="0" fontId="24" fillId="0" borderId="19" xfId="0" applyFont="1" applyFill="1" applyBorder="1" applyAlignment="1">
      <alignment/>
    </xf>
    <xf numFmtId="0" fontId="4" fillId="0" borderId="13" xfId="0" applyFont="1" applyBorder="1" applyAlignment="1">
      <alignment/>
    </xf>
    <xf numFmtId="0" fontId="4" fillId="0" borderId="20" xfId="0" applyFont="1" applyBorder="1" applyAlignment="1">
      <alignment/>
    </xf>
    <xf numFmtId="0" fontId="5" fillId="0" borderId="15" xfId="0" applyFont="1" applyBorder="1" applyAlignment="1">
      <alignment/>
    </xf>
    <xf numFmtId="0" fontId="5" fillId="0" borderId="13" xfId="0" applyFont="1" applyBorder="1" applyAlignment="1">
      <alignment/>
    </xf>
    <xf numFmtId="0" fontId="25" fillId="0" borderId="0" xfId="0" applyFont="1" applyBorder="1" applyAlignment="1">
      <alignment/>
    </xf>
    <xf numFmtId="0" fontId="16" fillId="0" borderId="15" xfId="0" applyFont="1" applyBorder="1" applyAlignment="1">
      <alignment/>
    </xf>
    <xf numFmtId="0" fontId="16" fillId="0" borderId="13" xfId="0" applyFont="1" applyBorder="1" applyAlignment="1">
      <alignment/>
    </xf>
    <xf numFmtId="0" fontId="9" fillId="0" borderId="15" xfId="0" applyFont="1" applyBorder="1" applyAlignment="1">
      <alignment/>
    </xf>
    <xf numFmtId="0" fontId="9" fillId="0" borderId="13" xfId="0" applyFont="1" applyBorder="1" applyAlignment="1">
      <alignment/>
    </xf>
    <xf numFmtId="0" fontId="20" fillId="0" borderId="0" xfId="0" applyFont="1" applyAlignment="1">
      <alignment/>
    </xf>
    <xf numFmtId="164" fontId="16" fillId="0" borderId="0" xfId="0" applyNumberFormat="1" applyFont="1" applyAlignment="1">
      <alignment/>
    </xf>
    <xf numFmtId="0" fontId="19" fillId="0" borderId="0" xfId="0" applyFont="1" applyAlignment="1">
      <alignment/>
    </xf>
    <xf numFmtId="0" fontId="10" fillId="36" borderId="0" xfId="0" applyFont="1" applyFill="1" applyBorder="1" applyAlignment="1">
      <alignment/>
    </xf>
    <xf numFmtId="2" fontId="16" fillId="0" borderId="0" xfId="0" applyNumberFormat="1" applyFont="1" applyAlignment="1">
      <alignment/>
    </xf>
    <xf numFmtId="0" fontId="8" fillId="0" borderId="0" xfId="0" applyFont="1" applyFill="1" applyBorder="1" applyAlignment="1" applyProtection="1">
      <alignment/>
      <protection locked="0"/>
    </xf>
    <xf numFmtId="0" fontId="26" fillId="34" borderId="0" xfId="0" applyFont="1" applyFill="1" applyAlignment="1">
      <alignment/>
    </xf>
    <xf numFmtId="0" fontId="30" fillId="34" borderId="0" xfId="0" applyFont="1" applyFill="1" applyAlignment="1">
      <alignment horizontal="center" wrapText="1"/>
    </xf>
    <xf numFmtId="0" fontId="30" fillId="34" borderId="0" xfId="0" applyFont="1" applyFill="1" applyAlignment="1">
      <alignment/>
    </xf>
    <xf numFmtId="0" fontId="5" fillId="34" borderId="0" xfId="0" applyFont="1" applyFill="1" applyBorder="1" applyAlignment="1">
      <alignment/>
    </xf>
    <xf numFmtId="164" fontId="15" fillId="34" borderId="0" xfId="0" applyNumberFormat="1" applyFont="1" applyFill="1" applyBorder="1" applyAlignment="1">
      <alignment/>
    </xf>
    <xf numFmtId="0" fontId="10" fillId="34" borderId="0" xfId="0" applyFont="1" applyFill="1" applyBorder="1" applyAlignment="1">
      <alignment/>
    </xf>
    <xf numFmtId="0" fontId="15" fillId="36" borderId="12" xfId="0" applyFont="1" applyFill="1" applyBorder="1" applyAlignment="1">
      <alignment/>
    </xf>
    <xf numFmtId="164" fontId="31" fillId="34" borderId="0" xfId="0" applyNumberFormat="1" applyFont="1" applyFill="1" applyBorder="1" applyAlignment="1">
      <alignment/>
    </xf>
    <xf numFmtId="164" fontId="31" fillId="36" borderId="12" xfId="0" applyNumberFormat="1" applyFont="1" applyFill="1" applyBorder="1" applyAlignment="1">
      <alignment/>
    </xf>
    <xf numFmtId="0" fontId="26" fillId="36" borderId="0" xfId="0" applyFont="1" applyFill="1" applyAlignment="1">
      <alignment/>
    </xf>
    <xf numFmtId="0" fontId="0" fillId="36" borderId="0" xfId="0" applyFill="1" applyAlignment="1">
      <alignment/>
    </xf>
    <xf numFmtId="0" fontId="5" fillId="36" borderId="0" xfId="0" applyFont="1" applyFill="1" applyAlignment="1">
      <alignment/>
    </xf>
    <xf numFmtId="0" fontId="5" fillId="36" borderId="0" xfId="0" applyFont="1" applyFill="1" applyBorder="1" applyAlignment="1" applyProtection="1">
      <alignment horizontal="center"/>
      <protection locked="0"/>
    </xf>
    <xf numFmtId="0" fontId="5" fillId="36" borderId="0" xfId="0" applyFont="1" applyFill="1" applyBorder="1" applyAlignment="1">
      <alignment horizontal="center"/>
    </xf>
    <xf numFmtId="0" fontId="13" fillId="36" borderId="0" xfId="0" applyFont="1" applyFill="1" applyBorder="1" applyAlignment="1" applyProtection="1">
      <alignment/>
      <protection locked="0"/>
    </xf>
    <xf numFmtId="0" fontId="6" fillId="36" borderId="0" xfId="0" applyFont="1" applyFill="1" applyAlignment="1">
      <alignment/>
    </xf>
    <xf numFmtId="0" fontId="5" fillId="36" borderId="13" xfId="0" applyFont="1" applyFill="1" applyBorder="1" applyAlignment="1">
      <alignment horizontal="center"/>
    </xf>
    <xf numFmtId="0" fontId="5" fillId="36" borderId="13" xfId="0" applyFont="1" applyFill="1" applyBorder="1" applyAlignment="1" applyProtection="1">
      <alignment horizontal="center"/>
      <protection locked="0"/>
    </xf>
    <xf numFmtId="0" fontId="10" fillId="36" borderId="0" xfId="0" applyFont="1" applyFill="1" applyAlignment="1">
      <alignment/>
    </xf>
    <xf numFmtId="0" fontId="17" fillId="36" borderId="0" xfId="0" applyFont="1" applyFill="1" applyAlignment="1">
      <alignment/>
    </xf>
    <xf numFmtId="0" fontId="14" fillId="36" borderId="0" xfId="0" applyFont="1" applyFill="1" applyAlignment="1">
      <alignment/>
    </xf>
    <xf numFmtId="0" fontId="30" fillId="36" borderId="0" xfId="0" applyFont="1" applyFill="1" applyAlignment="1">
      <alignment/>
    </xf>
    <xf numFmtId="2" fontId="16" fillId="36" borderId="21" xfId="0" applyNumberFormat="1" applyFont="1" applyFill="1" applyBorder="1" applyAlignment="1">
      <alignment/>
    </xf>
    <xf numFmtId="2" fontId="16" fillId="36" borderId="12" xfId="0" applyNumberFormat="1" applyFont="1" applyFill="1" applyBorder="1" applyAlignment="1">
      <alignment/>
    </xf>
    <xf numFmtId="0" fontId="19" fillId="34" borderId="0" xfId="0" applyFont="1" applyFill="1" applyBorder="1" applyAlignment="1">
      <alignment/>
    </xf>
    <xf numFmtId="0" fontId="32" fillId="34" borderId="0" xfId="0" applyFont="1" applyFill="1" applyAlignment="1">
      <alignment/>
    </xf>
    <xf numFmtId="0" fontId="36" fillId="0" borderId="12" xfId="0" applyFont="1" applyFill="1" applyBorder="1" applyAlignment="1">
      <alignment horizontal="center"/>
    </xf>
    <xf numFmtId="1" fontId="36" fillId="0" borderId="12" xfId="0" applyNumberFormat="1" applyFont="1" applyFill="1" applyBorder="1" applyAlignment="1">
      <alignment horizontal="center"/>
    </xf>
    <xf numFmtId="0" fontId="32" fillId="0" borderId="0" xfId="0" applyFont="1" applyFill="1" applyBorder="1" applyAlignment="1">
      <alignment/>
    </xf>
    <xf numFmtId="0" fontId="33" fillId="0" borderId="0" xfId="0" applyFont="1" applyFill="1" applyBorder="1" applyAlignment="1">
      <alignment/>
    </xf>
    <xf numFmtId="0" fontId="35" fillId="0" borderId="0" xfId="0" applyFont="1" applyFill="1" applyBorder="1" applyAlignment="1">
      <alignment/>
    </xf>
    <xf numFmtId="164" fontId="34" fillId="0" borderId="0" xfId="0" applyNumberFormat="1" applyFont="1" applyFill="1" applyBorder="1" applyAlignment="1">
      <alignment/>
    </xf>
    <xf numFmtId="164" fontId="38" fillId="0" borderId="12" xfId="0" applyNumberFormat="1" applyFont="1" applyFill="1" applyBorder="1" applyAlignment="1">
      <alignment/>
    </xf>
    <xf numFmtId="164" fontId="38" fillId="0" borderId="0" xfId="0" applyNumberFormat="1" applyFont="1" applyFill="1" applyBorder="1" applyAlignment="1">
      <alignment/>
    </xf>
    <xf numFmtId="0" fontId="33" fillId="0" borderId="0" xfId="0" applyFont="1" applyFill="1" applyBorder="1" applyAlignment="1">
      <alignment horizontal="center"/>
    </xf>
    <xf numFmtId="0" fontId="39" fillId="0" borderId="0" xfId="0" applyFont="1" applyFill="1" applyBorder="1" applyAlignment="1" applyProtection="1">
      <alignment/>
      <protection locked="0"/>
    </xf>
    <xf numFmtId="0" fontId="20" fillId="0" borderId="0" xfId="0" applyFont="1" applyFill="1" applyBorder="1" applyAlignment="1">
      <alignment/>
    </xf>
    <xf numFmtId="0" fontId="34" fillId="0" borderId="0" xfId="0" applyFont="1" applyFill="1" applyBorder="1" applyAlignment="1">
      <alignment/>
    </xf>
    <xf numFmtId="0" fontId="36" fillId="0" borderId="0" xfId="0" applyFont="1" applyFill="1" applyBorder="1" applyAlignment="1">
      <alignment/>
    </xf>
    <xf numFmtId="0" fontId="37" fillId="0" borderId="0" xfId="0" applyFont="1" applyFill="1" applyBorder="1" applyAlignment="1">
      <alignment/>
    </xf>
    <xf numFmtId="0" fontId="33" fillId="0" borderId="0" xfId="0" applyFont="1" applyFill="1" applyBorder="1" applyAlignment="1">
      <alignment/>
    </xf>
    <xf numFmtId="0" fontId="33" fillId="0" borderId="13" xfId="0" applyFont="1" applyFill="1" applyBorder="1" applyAlignment="1">
      <alignment/>
    </xf>
    <xf numFmtId="0" fontId="32" fillId="0" borderId="13" xfId="0" applyFont="1" applyFill="1" applyBorder="1" applyAlignment="1">
      <alignment/>
    </xf>
    <xf numFmtId="0" fontId="33" fillId="0" borderId="13" xfId="0" applyFont="1" applyFill="1" applyBorder="1" applyAlignment="1">
      <alignment horizontal="center" wrapText="1"/>
    </xf>
    <xf numFmtId="0" fontId="35" fillId="0" borderId="13" xfId="0" applyFont="1" applyFill="1" applyBorder="1" applyAlignment="1">
      <alignment horizontal="center"/>
    </xf>
    <xf numFmtId="164" fontId="38" fillId="0" borderId="21" xfId="0" applyNumberFormat="1" applyFont="1" applyFill="1" applyBorder="1" applyAlignment="1">
      <alignment/>
    </xf>
    <xf numFmtId="0" fontId="36" fillId="0" borderId="22" xfId="0" applyFont="1" applyFill="1" applyBorder="1" applyAlignment="1">
      <alignment/>
    </xf>
    <xf numFmtId="2" fontId="38" fillId="0" borderId="22" xfId="0" applyNumberFormat="1" applyFont="1" applyFill="1" applyBorder="1" applyAlignment="1">
      <alignment/>
    </xf>
    <xf numFmtId="0" fontId="33" fillId="0" borderId="0" xfId="0" applyFont="1" applyFill="1" applyBorder="1" applyAlignment="1" applyProtection="1">
      <alignment/>
      <protection locked="0"/>
    </xf>
    <xf numFmtId="0" fontId="32" fillId="35" borderId="0" xfId="0" applyFont="1" applyFill="1" applyAlignment="1">
      <alignment/>
    </xf>
    <xf numFmtId="0" fontId="32" fillId="33" borderId="0" xfId="0" applyFont="1" applyFill="1" applyAlignment="1">
      <alignment/>
    </xf>
    <xf numFmtId="0" fontId="40" fillId="0" borderId="0" xfId="0" applyFont="1" applyAlignment="1">
      <alignment/>
    </xf>
    <xf numFmtId="0" fontId="33" fillId="0" borderId="13" xfId="0" applyFont="1" applyFill="1" applyBorder="1" applyAlignment="1">
      <alignment horizontal="center"/>
    </xf>
    <xf numFmtId="0" fontId="33" fillId="0" borderId="13" xfId="0" applyFont="1" applyFill="1" applyBorder="1" applyAlignment="1" applyProtection="1">
      <alignment horizontal="center"/>
      <protection locked="0"/>
    </xf>
    <xf numFmtId="0" fontId="0" fillId="34" borderId="0" xfId="0" applyFont="1" applyFill="1" applyAlignment="1">
      <alignment/>
    </xf>
    <xf numFmtId="0" fontId="0" fillId="33" borderId="0" xfId="0" applyFont="1" applyFill="1" applyAlignment="1">
      <alignment/>
    </xf>
    <xf numFmtId="0" fontId="8" fillId="0" borderId="12" xfId="0" applyFont="1" applyFill="1" applyBorder="1" applyAlignment="1" applyProtection="1">
      <alignment/>
      <protection locked="0"/>
    </xf>
    <xf numFmtId="0" fontId="8" fillId="0" borderId="23" xfId="0" applyFont="1" applyFill="1" applyBorder="1" applyAlignment="1" applyProtection="1">
      <alignment/>
      <protection locked="0"/>
    </xf>
    <xf numFmtId="0" fontId="8" fillId="0" borderId="12" xfId="0" applyFont="1" applyFill="1" applyBorder="1" applyAlignment="1" applyProtection="1">
      <alignment horizontal="center"/>
      <protection locked="0"/>
    </xf>
    <xf numFmtId="0" fontId="15" fillId="0" borderId="12" xfId="0" applyFont="1" applyBorder="1" applyAlignment="1" applyProtection="1">
      <alignment horizontal="center"/>
      <protection locked="0"/>
    </xf>
    <xf numFmtId="0" fontId="41" fillId="0" borderId="0" xfId="0" applyFont="1" applyAlignment="1">
      <alignment/>
    </xf>
    <xf numFmtId="0" fontId="0" fillId="37" borderId="0" xfId="0" applyFill="1" applyAlignment="1">
      <alignment/>
    </xf>
    <xf numFmtId="0" fontId="43" fillId="0" borderId="0" xfId="0" applyFont="1" applyAlignment="1">
      <alignment/>
    </xf>
    <xf numFmtId="14" fontId="1" fillId="33" borderId="24" xfId="0" applyNumberFormat="1" applyFont="1" applyFill="1" applyBorder="1" applyAlignment="1">
      <alignment/>
    </xf>
    <xf numFmtId="0" fontId="8" fillId="0" borderId="22"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21" xfId="0" applyFont="1" applyBorder="1" applyAlignment="1" applyProtection="1">
      <alignment/>
      <protection locked="0"/>
    </xf>
    <xf numFmtId="0" fontId="8" fillId="0" borderId="25" xfId="0" applyFont="1" applyFill="1" applyBorder="1" applyAlignment="1" applyProtection="1">
      <alignment/>
      <protection locked="0"/>
    </xf>
    <xf numFmtId="0" fontId="8" fillId="0" borderId="26" xfId="0" applyFont="1" applyFill="1" applyBorder="1" applyAlignment="1" applyProtection="1">
      <alignment/>
      <protection locked="0"/>
    </xf>
    <xf numFmtId="0" fontId="4" fillId="34" borderId="0" xfId="0" applyFont="1" applyFill="1" applyBorder="1" applyAlignment="1" applyProtection="1">
      <alignment/>
      <protection locked="0"/>
    </xf>
    <xf numFmtId="0" fontId="8" fillId="0" borderId="27" xfId="0" applyFont="1" applyBorder="1" applyAlignment="1" applyProtection="1">
      <alignment/>
      <protection locked="0"/>
    </xf>
    <xf numFmtId="0" fontId="8" fillId="0" borderId="12" xfId="0" applyFont="1" applyBorder="1" applyAlignment="1" applyProtection="1">
      <alignment/>
      <protection locked="0"/>
    </xf>
    <xf numFmtId="0" fontId="8" fillId="0" borderId="13" xfId="0" applyFont="1" applyFill="1" applyBorder="1" applyAlignment="1" applyProtection="1">
      <alignment/>
      <protection locked="0"/>
    </xf>
    <xf numFmtId="0" fontId="4" fillId="0" borderId="0" xfId="0" applyFont="1" applyFill="1" applyBorder="1" applyAlignment="1" applyProtection="1">
      <alignment/>
      <protection locked="0"/>
    </xf>
    <xf numFmtId="0" fontId="0" fillId="0" borderId="0" xfId="0" applyAlignment="1">
      <alignment/>
    </xf>
    <xf numFmtId="0" fontId="0" fillId="38" borderId="0" xfId="0" applyFill="1" applyAlignment="1">
      <alignment/>
    </xf>
    <xf numFmtId="0" fontId="0" fillId="39" borderId="0" xfId="0" applyFill="1" applyAlignment="1">
      <alignment/>
    </xf>
    <xf numFmtId="0" fontId="1" fillId="38" borderId="11" xfId="0" applyFont="1" applyFill="1" applyBorder="1" applyAlignment="1">
      <alignment/>
    </xf>
    <xf numFmtId="0" fontId="1" fillId="38" borderId="24" xfId="0" applyFont="1" applyFill="1" applyBorder="1" applyAlignment="1">
      <alignment/>
    </xf>
    <xf numFmtId="0" fontId="8" fillId="39" borderId="25" xfId="0" applyFont="1" applyFill="1" applyBorder="1" applyAlignment="1" applyProtection="1">
      <alignment/>
      <protection locked="0"/>
    </xf>
    <xf numFmtId="0" fontId="8" fillId="39" borderId="26" xfId="0" applyFont="1" applyFill="1" applyBorder="1" applyAlignment="1" applyProtection="1">
      <alignment/>
      <protection locked="0"/>
    </xf>
    <xf numFmtId="0" fontId="15" fillId="39" borderId="12" xfId="0" applyFont="1" applyFill="1" applyBorder="1" applyAlignment="1" applyProtection="1">
      <alignment horizontal="center"/>
      <protection locked="0"/>
    </xf>
    <xf numFmtId="2" fontId="15" fillId="39" borderId="12" xfId="0" applyNumberFormat="1" applyFont="1" applyFill="1" applyBorder="1" applyAlignment="1" applyProtection="1">
      <alignment horizontal="center"/>
      <protection locked="0"/>
    </xf>
    <xf numFmtId="1" fontId="8" fillId="39" borderId="12" xfId="0" applyNumberFormat="1" applyFont="1" applyFill="1" applyBorder="1" applyAlignment="1">
      <alignment horizontal="center"/>
    </xf>
    <xf numFmtId="1" fontId="83" fillId="39" borderId="12" xfId="0" applyNumberFormat="1" applyFont="1" applyFill="1" applyBorder="1" applyAlignment="1">
      <alignment horizontal="center"/>
    </xf>
    <xf numFmtId="0" fontId="84" fillId="38" borderId="0" xfId="0" applyFont="1" applyFill="1" applyAlignment="1">
      <alignment/>
    </xf>
    <xf numFmtId="0" fontId="85" fillId="38" borderId="0" xfId="0" applyFont="1" applyFill="1" applyAlignment="1">
      <alignment/>
    </xf>
    <xf numFmtId="0" fontId="85" fillId="38" borderId="10" xfId="0" applyFont="1" applyFill="1" applyBorder="1" applyAlignment="1">
      <alignment/>
    </xf>
    <xf numFmtId="0" fontId="5" fillId="40" borderId="0" xfId="0" applyFont="1" applyFill="1" applyAlignment="1">
      <alignment/>
    </xf>
    <xf numFmtId="0" fontId="0" fillId="40" borderId="0" xfId="0" applyFill="1" applyAlignment="1">
      <alignment/>
    </xf>
    <xf numFmtId="0" fontId="5" fillId="40" borderId="0" xfId="0" applyFont="1" applyFill="1" applyAlignment="1">
      <alignment horizontal="center"/>
    </xf>
    <xf numFmtId="0" fontId="19" fillId="40" borderId="0" xfId="0" applyFont="1" applyFill="1" applyAlignment="1">
      <alignment horizontal="center"/>
    </xf>
    <xf numFmtId="0" fontId="10" fillId="40" borderId="0" xfId="0" applyFont="1" applyFill="1" applyAlignment="1">
      <alignment/>
    </xf>
    <xf numFmtId="0" fontId="5" fillId="40" borderId="15" xfId="0" applyFont="1" applyFill="1" applyBorder="1" applyAlignment="1">
      <alignment/>
    </xf>
    <xf numFmtId="0" fontId="0" fillId="40" borderId="15" xfId="0" applyFill="1" applyBorder="1" applyAlignment="1">
      <alignment/>
    </xf>
    <xf numFmtId="0" fontId="0" fillId="40" borderId="17" xfId="0" applyFill="1" applyBorder="1" applyAlignment="1">
      <alignment/>
    </xf>
    <xf numFmtId="0" fontId="5" fillId="40" borderId="0" xfId="0" applyFont="1" applyFill="1" applyBorder="1" applyAlignment="1">
      <alignment/>
    </xf>
    <xf numFmtId="0" fontId="18" fillId="40" borderId="0" xfId="0" applyFont="1" applyFill="1" applyBorder="1" applyAlignment="1">
      <alignment/>
    </xf>
    <xf numFmtId="0" fontId="0" fillId="40" borderId="0" xfId="0" applyFill="1" applyBorder="1" applyAlignment="1">
      <alignment/>
    </xf>
    <xf numFmtId="0" fontId="9" fillId="40" borderId="0" xfId="0" applyFont="1" applyFill="1" applyBorder="1" applyAlignment="1">
      <alignment horizontal="center"/>
    </xf>
    <xf numFmtId="0" fontId="10" fillId="40" borderId="0" xfId="0" applyFont="1" applyFill="1" applyBorder="1" applyAlignment="1">
      <alignment/>
    </xf>
    <xf numFmtId="0" fontId="10" fillId="40" borderId="18" xfId="0" applyFont="1" applyFill="1" applyBorder="1" applyAlignment="1">
      <alignment/>
    </xf>
    <xf numFmtId="0" fontId="5" fillId="40" borderId="13" xfId="0" applyFont="1" applyFill="1" applyBorder="1" applyAlignment="1">
      <alignment/>
    </xf>
    <xf numFmtId="0" fontId="0" fillId="40" borderId="13" xfId="0" applyFill="1" applyBorder="1" applyAlignment="1">
      <alignment/>
    </xf>
    <xf numFmtId="2" fontId="15" fillId="40" borderId="27" xfId="0" applyNumberFormat="1" applyFont="1" applyFill="1" applyBorder="1" applyAlignment="1" applyProtection="1">
      <alignment horizontal="center"/>
      <protection locked="0"/>
    </xf>
    <xf numFmtId="0" fontId="8" fillId="40" borderId="0" xfId="0" applyFont="1" applyFill="1" applyBorder="1" applyAlignment="1" applyProtection="1">
      <alignment/>
      <protection locked="0"/>
    </xf>
    <xf numFmtId="0" fontId="0" fillId="5" borderId="0" xfId="0" applyFill="1" applyAlignment="1">
      <alignment/>
    </xf>
    <xf numFmtId="0" fontId="5" fillId="5" borderId="0" xfId="0" applyFont="1" applyFill="1" applyAlignment="1">
      <alignment/>
    </xf>
    <xf numFmtId="0" fontId="5" fillId="5" borderId="0" xfId="0" applyFont="1" applyFill="1" applyBorder="1" applyAlignment="1" applyProtection="1">
      <alignment horizontal="center"/>
      <protection locked="0"/>
    </xf>
    <xf numFmtId="0" fontId="5" fillId="5" borderId="0" xfId="0" applyFont="1" applyFill="1" applyBorder="1" applyAlignment="1">
      <alignment horizontal="center"/>
    </xf>
    <xf numFmtId="0" fontId="13" fillId="5" borderId="0" xfId="0" applyFont="1" applyFill="1" applyBorder="1" applyAlignment="1" applyProtection="1">
      <alignment/>
      <protection locked="0"/>
    </xf>
    <xf numFmtId="0" fontId="6" fillId="5" borderId="0" xfId="0" applyFont="1" applyFill="1" applyAlignment="1">
      <alignment/>
    </xf>
    <xf numFmtId="0" fontId="5" fillId="5" borderId="13" xfId="0" applyFont="1" applyFill="1" applyBorder="1" applyAlignment="1">
      <alignment horizontal="center"/>
    </xf>
    <xf numFmtId="0" fontId="5" fillId="5" borderId="13" xfId="0" applyFont="1" applyFill="1" applyBorder="1" applyAlignment="1" applyProtection="1">
      <alignment horizontal="center"/>
      <protection locked="0"/>
    </xf>
    <xf numFmtId="0" fontId="5" fillId="5" borderId="0" xfId="0" applyFont="1" applyFill="1" applyAlignment="1">
      <alignment/>
    </xf>
    <xf numFmtId="0" fontId="27" fillId="40" borderId="0" xfId="0" applyFont="1" applyFill="1" applyAlignment="1">
      <alignment/>
    </xf>
    <xf numFmtId="0" fontId="12" fillId="40" borderId="0" xfId="0" applyFont="1" applyFill="1" applyAlignment="1">
      <alignment/>
    </xf>
    <xf numFmtId="0" fontId="9" fillId="40" borderId="0" xfId="0" applyFont="1" applyFill="1" applyAlignment="1">
      <alignment/>
    </xf>
    <xf numFmtId="0" fontId="5" fillId="5" borderId="15" xfId="0" applyFont="1" applyFill="1" applyBorder="1" applyAlignment="1">
      <alignment/>
    </xf>
    <xf numFmtId="0" fontId="0" fillId="5" borderId="15" xfId="0" applyFill="1" applyBorder="1" applyAlignment="1">
      <alignment/>
    </xf>
    <xf numFmtId="0" fontId="0" fillId="5" borderId="17" xfId="0" applyFill="1" applyBorder="1" applyAlignment="1">
      <alignment/>
    </xf>
    <xf numFmtId="0" fontId="5" fillId="5" borderId="0" xfId="0" applyFont="1" applyFill="1" applyBorder="1" applyAlignment="1">
      <alignment/>
    </xf>
    <xf numFmtId="0" fontId="18" fillId="5" borderId="0" xfId="0" applyFont="1" applyFill="1" applyBorder="1" applyAlignment="1">
      <alignment/>
    </xf>
    <xf numFmtId="0" fontId="0" fillId="5" borderId="0" xfId="0" applyFill="1" applyBorder="1" applyAlignment="1">
      <alignment/>
    </xf>
    <xf numFmtId="0" fontId="9" fillId="5" borderId="0" xfId="0" applyFont="1" applyFill="1" applyBorder="1" applyAlignment="1">
      <alignment horizontal="center"/>
    </xf>
    <xf numFmtId="0" fontId="0" fillId="5" borderId="18" xfId="0" applyFill="1" applyBorder="1" applyAlignment="1">
      <alignment/>
    </xf>
    <xf numFmtId="0" fontId="5" fillId="5" borderId="13" xfId="0" applyFont="1" applyFill="1" applyBorder="1" applyAlignment="1">
      <alignment/>
    </xf>
    <xf numFmtId="0" fontId="0" fillId="5" borderId="13" xfId="0" applyFill="1" applyBorder="1" applyAlignment="1">
      <alignment/>
    </xf>
    <xf numFmtId="0" fontId="19" fillId="40" borderId="0" xfId="0" applyFont="1" applyFill="1" applyAlignment="1">
      <alignment/>
    </xf>
    <xf numFmtId="0" fontId="5" fillId="40" borderId="0" xfId="0" applyFont="1" applyFill="1" applyAlignment="1">
      <alignment horizontal="right"/>
    </xf>
    <xf numFmtId="0" fontId="4" fillId="40" borderId="0" xfId="0" applyFont="1" applyFill="1" applyBorder="1" applyAlignment="1" applyProtection="1">
      <alignment/>
      <protection locked="0"/>
    </xf>
    <xf numFmtId="0" fontId="86" fillId="40" borderId="0" xfId="0" applyFont="1" applyFill="1" applyAlignment="1">
      <alignment/>
    </xf>
    <xf numFmtId="10" fontId="8" fillId="40" borderId="0" xfId="0" applyNumberFormat="1" applyFont="1" applyFill="1" applyBorder="1" applyAlignment="1">
      <alignment/>
    </xf>
    <xf numFmtId="1" fontId="8" fillId="40" borderId="0" xfId="0" applyNumberFormat="1" applyFont="1" applyFill="1" applyBorder="1" applyAlignment="1">
      <alignment/>
    </xf>
    <xf numFmtId="0" fontId="8" fillId="39" borderId="27" xfId="0" applyFont="1" applyFill="1" applyBorder="1" applyAlignment="1" applyProtection="1">
      <alignment/>
      <protection locked="0"/>
    </xf>
    <xf numFmtId="0" fontId="8" fillId="39" borderId="21" xfId="0" applyFont="1" applyFill="1" applyBorder="1" applyAlignment="1" applyProtection="1">
      <alignment/>
      <protection locked="0"/>
    </xf>
    <xf numFmtId="0" fontId="8" fillId="39" borderId="12" xfId="0" applyFont="1" applyFill="1" applyBorder="1" applyAlignment="1" applyProtection="1">
      <alignment/>
      <protection locked="0"/>
    </xf>
    <xf numFmtId="0" fontId="87" fillId="40" borderId="0" xfId="0" applyFont="1" applyFill="1" applyAlignment="1">
      <alignment/>
    </xf>
    <xf numFmtId="0" fontId="15" fillId="39" borderId="23" xfId="0" applyFont="1" applyFill="1" applyBorder="1" applyAlignment="1" applyProtection="1">
      <alignment horizontal="center"/>
      <protection locked="0"/>
    </xf>
    <xf numFmtId="0" fontId="15" fillId="39" borderId="28" xfId="0" applyFont="1" applyFill="1" applyBorder="1" applyAlignment="1" applyProtection="1">
      <alignment horizontal="center"/>
      <protection locked="0"/>
    </xf>
    <xf numFmtId="2" fontId="15" fillId="39" borderId="27" xfId="0" applyNumberFormat="1" applyFont="1" applyFill="1" applyBorder="1" applyAlignment="1" applyProtection="1">
      <alignment horizontal="center"/>
      <protection locked="0"/>
    </xf>
    <xf numFmtId="2" fontId="15" fillId="39" borderId="21" xfId="0" applyNumberFormat="1" applyFont="1" applyFill="1" applyBorder="1" applyAlignment="1">
      <alignment/>
    </xf>
    <xf numFmtId="2" fontId="15" fillId="39" borderId="21" xfId="0" applyNumberFormat="1" applyFont="1" applyFill="1" applyBorder="1" applyAlignment="1" applyProtection="1">
      <alignment/>
      <protection/>
    </xf>
    <xf numFmtId="164" fontId="15" fillId="39" borderId="12" xfId="0" applyNumberFormat="1" applyFont="1" applyFill="1" applyBorder="1" applyAlignment="1">
      <alignment/>
    </xf>
    <xf numFmtId="0" fontId="15" fillId="39" borderId="27" xfId="0" applyFont="1" applyFill="1" applyBorder="1" applyAlignment="1" applyProtection="1">
      <alignment horizontal="center"/>
      <protection locked="0"/>
    </xf>
    <xf numFmtId="0" fontId="86" fillId="5" borderId="14" xfId="0" applyFont="1" applyFill="1" applyBorder="1" applyAlignment="1">
      <alignment/>
    </xf>
    <xf numFmtId="0" fontId="86" fillId="5" borderId="19" xfId="0" applyFont="1" applyFill="1" applyBorder="1" applyAlignment="1">
      <alignment/>
    </xf>
    <xf numFmtId="0" fontId="86" fillId="5" borderId="15" xfId="0" applyFont="1" applyFill="1" applyBorder="1" applyAlignment="1">
      <alignment/>
    </xf>
    <xf numFmtId="0" fontId="86" fillId="5" borderId="13" xfId="0" applyFont="1" applyFill="1" applyBorder="1" applyAlignment="1">
      <alignment/>
    </xf>
    <xf numFmtId="0" fontId="86" fillId="5" borderId="16" xfId="0" applyFont="1" applyFill="1" applyBorder="1" applyAlignment="1">
      <alignment/>
    </xf>
    <xf numFmtId="0" fontId="86" fillId="5" borderId="20" xfId="0" applyFont="1" applyFill="1" applyBorder="1" applyAlignment="1">
      <alignment/>
    </xf>
    <xf numFmtId="0" fontId="86" fillId="5" borderId="0" xfId="0" applyFont="1" applyFill="1" applyAlignment="1">
      <alignment/>
    </xf>
    <xf numFmtId="0" fontId="86" fillId="40" borderId="20" xfId="0" applyFont="1" applyFill="1" applyBorder="1" applyAlignment="1">
      <alignment/>
    </xf>
    <xf numFmtId="0" fontId="86" fillId="40" borderId="13" xfId="0" applyFont="1" applyFill="1" applyBorder="1" applyAlignment="1">
      <alignment/>
    </xf>
    <xf numFmtId="0" fontId="86" fillId="40" borderId="15" xfId="0" applyFont="1" applyFill="1" applyBorder="1" applyAlignment="1">
      <alignment/>
    </xf>
    <xf numFmtId="0" fontId="86" fillId="40" borderId="16" xfId="0" applyFont="1" applyFill="1" applyBorder="1" applyAlignment="1">
      <alignment/>
    </xf>
    <xf numFmtId="0" fontId="14" fillId="5" borderId="0" xfId="0" applyFont="1" applyFill="1" applyAlignment="1">
      <alignment/>
    </xf>
    <xf numFmtId="164" fontId="16" fillId="39" borderId="21" xfId="0" applyNumberFormat="1" applyFont="1" applyFill="1" applyBorder="1" applyAlignment="1">
      <alignment/>
    </xf>
    <xf numFmtId="164" fontId="16" fillId="39" borderId="12" xfId="0" applyNumberFormat="1" applyFont="1" applyFill="1" applyBorder="1" applyAlignment="1">
      <alignment/>
    </xf>
    <xf numFmtId="0" fontId="88" fillId="5" borderId="0" xfId="0" applyFont="1" applyFill="1" applyAlignment="1">
      <alignment/>
    </xf>
    <xf numFmtId="0" fontId="86" fillId="40" borderId="14" xfId="0" applyFont="1" applyFill="1" applyBorder="1" applyAlignment="1">
      <alignment/>
    </xf>
    <xf numFmtId="0" fontId="86" fillId="40" borderId="19" xfId="0" applyFont="1" applyFill="1" applyBorder="1" applyAlignment="1">
      <alignment/>
    </xf>
    <xf numFmtId="0" fontId="87" fillId="5" borderId="0" xfId="0" applyFont="1" applyFill="1" applyAlignment="1">
      <alignment/>
    </xf>
    <xf numFmtId="0" fontId="89" fillId="4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60500"/>
      <rgbColor rgb="0000FF00"/>
      <rgbColor rgb="000000FF"/>
      <rgbColor rgb="00FDE92B"/>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1</xdr:row>
      <xdr:rowOff>133350</xdr:rowOff>
    </xdr:from>
    <xdr:to>
      <xdr:col>3</xdr:col>
      <xdr:colOff>581025</xdr:colOff>
      <xdr:row>3</xdr:row>
      <xdr:rowOff>76200</xdr:rowOff>
    </xdr:to>
    <xdr:pic>
      <xdr:nvPicPr>
        <xdr:cNvPr id="1" name="Picture 4"/>
        <xdr:cNvPicPr preferRelativeResize="1">
          <a:picLocks noChangeAspect="1"/>
        </xdr:cNvPicPr>
      </xdr:nvPicPr>
      <xdr:blipFill>
        <a:blip r:embed="rId1"/>
        <a:stretch>
          <a:fillRect/>
        </a:stretch>
      </xdr:blipFill>
      <xdr:spPr>
        <a:xfrm>
          <a:off x="1343025" y="295275"/>
          <a:ext cx="1314450" cy="266700"/>
        </a:xfrm>
        <a:prstGeom prst="rect">
          <a:avLst/>
        </a:prstGeom>
        <a:noFill/>
        <a:ln w="1" cmpd="sng">
          <a:noFill/>
        </a:ln>
      </xdr:spPr>
    </xdr:pic>
    <xdr:clientData/>
  </xdr:twoCellAnchor>
  <xdr:twoCellAnchor>
    <xdr:from>
      <xdr:col>4</xdr:col>
      <xdr:colOff>190500</xdr:colOff>
      <xdr:row>1</xdr:row>
      <xdr:rowOff>104775</xdr:rowOff>
    </xdr:from>
    <xdr:to>
      <xdr:col>5</xdr:col>
      <xdr:colOff>600075</xdr:colOff>
      <xdr:row>3</xdr:row>
      <xdr:rowOff>85725</xdr:rowOff>
    </xdr:to>
    <xdr:pic>
      <xdr:nvPicPr>
        <xdr:cNvPr id="2" name="Picture 5" descr="Ibccocl"/>
        <xdr:cNvPicPr preferRelativeResize="1">
          <a:picLocks noChangeAspect="1"/>
        </xdr:cNvPicPr>
      </xdr:nvPicPr>
      <xdr:blipFill>
        <a:blip r:embed="rId2"/>
        <a:stretch>
          <a:fillRect/>
        </a:stretch>
      </xdr:blipFill>
      <xdr:spPr>
        <a:xfrm>
          <a:off x="2876550" y="266700"/>
          <a:ext cx="1095375" cy="304800"/>
        </a:xfrm>
        <a:prstGeom prst="rect">
          <a:avLst/>
        </a:prstGeom>
        <a:noFill/>
        <a:ln w="19050" cmpd="sng">
          <a:noFill/>
        </a:ln>
      </xdr:spPr>
    </xdr:pic>
    <xdr:clientData/>
  </xdr:twoCellAnchor>
  <xdr:twoCellAnchor editAs="oneCell">
    <xdr:from>
      <xdr:col>0</xdr:col>
      <xdr:colOff>161925</xdr:colOff>
      <xdr:row>70</xdr:row>
      <xdr:rowOff>57150</xdr:rowOff>
    </xdr:from>
    <xdr:to>
      <xdr:col>0</xdr:col>
      <xdr:colOff>733425</xdr:colOff>
      <xdr:row>73</xdr:row>
      <xdr:rowOff>95250</xdr:rowOff>
    </xdr:to>
    <xdr:pic>
      <xdr:nvPicPr>
        <xdr:cNvPr id="3" name="Picture 6"/>
        <xdr:cNvPicPr preferRelativeResize="1">
          <a:picLocks noChangeAspect="1"/>
        </xdr:cNvPicPr>
      </xdr:nvPicPr>
      <xdr:blipFill>
        <a:blip r:embed="rId3"/>
        <a:stretch>
          <a:fillRect/>
        </a:stretch>
      </xdr:blipFill>
      <xdr:spPr>
        <a:xfrm>
          <a:off x="161925" y="16983075"/>
          <a:ext cx="571500" cy="523875"/>
        </a:xfrm>
        <a:prstGeom prst="rect">
          <a:avLst/>
        </a:prstGeom>
        <a:noFill/>
        <a:ln w="1" cmpd="sng">
          <a:noFill/>
        </a:ln>
      </xdr:spPr>
    </xdr:pic>
    <xdr:clientData/>
  </xdr:twoCellAnchor>
  <xdr:twoCellAnchor editAs="oneCell">
    <xdr:from>
      <xdr:col>0</xdr:col>
      <xdr:colOff>0</xdr:colOff>
      <xdr:row>0</xdr:row>
      <xdr:rowOff>0</xdr:rowOff>
    </xdr:from>
    <xdr:to>
      <xdr:col>1</xdr:col>
      <xdr:colOff>123825</xdr:colOff>
      <xdr:row>4</xdr:row>
      <xdr:rowOff>133350</xdr:rowOff>
    </xdr:to>
    <xdr:pic>
      <xdr:nvPicPr>
        <xdr:cNvPr id="4" name="Picture 6"/>
        <xdr:cNvPicPr preferRelativeResize="1">
          <a:picLocks noChangeAspect="1"/>
        </xdr:cNvPicPr>
      </xdr:nvPicPr>
      <xdr:blipFill>
        <a:blip r:embed="rId3"/>
        <a:stretch>
          <a:fillRect/>
        </a:stretch>
      </xdr:blipFill>
      <xdr:spPr>
        <a:xfrm>
          <a:off x="0" y="0"/>
          <a:ext cx="876300" cy="800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52</xdr:row>
      <xdr:rowOff>9525</xdr:rowOff>
    </xdr:from>
    <xdr:to>
      <xdr:col>1</xdr:col>
      <xdr:colOff>457200</xdr:colOff>
      <xdr:row>53</xdr:row>
      <xdr:rowOff>76200</xdr:rowOff>
    </xdr:to>
    <xdr:pic>
      <xdr:nvPicPr>
        <xdr:cNvPr id="1" name="Picture 6"/>
        <xdr:cNvPicPr preferRelativeResize="1">
          <a:picLocks noChangeAspect="1"/>
        </xdr:cNvPicPr>
      </xdr:nvPicPr>
      <xdr:blipFill>
        <a:blip r:embed="rId1"/>
        <a:stretch>
          <a:fillRect/>
        </a:stretch>
      </xdr:blipFill>
      <xdr:spPr>
        <a:xfrm>
          <a:off x="9525" y="12639675"/>
          <a:ext cx="1200150" cy="228600"/>
        </a:xfrm>
        <a:prstGeom prst="rect">
          <a:avLst/>
        </a:prstGeom>
        <a:noFill/>
        <a:ln w="1" cmpd="sng">
          <a:noFill/>
        </a:ln>
      </xdr:spPr>
    </xdr:pic>
    <xdr:clientData/>
  </xdr:twoCellAnchor>
  <xdr:twoCellAnchor editAs="oneCell">
    <xdr:from>
      <xdr:col>0</xdr:col>
      <xdr:colOff>9525</xdr:colOff>
      <xdr:row>0</xdr:row>
      <xdr:rowOff>0</xdr:rowOff>
    </xdr:from>
    <xdr:to>
      <xdr:col>1</xdr:col>
      <xdr:colOff>1190625</xdr:colOff>
      <xdr:row>2</xdr:row>
      <xdr:rowOff>47625</xdr:rowOff>
    </xdr:to>
    <xdr:pic>
      <xdr:nvPicPr>
        <xdr:cNvPr id="2" name="Picture 8"/>
        <xdr:cNvPicPr preferRelativeResize="1">
          <a:picLocks noChangeAspect="1"/>
        </xdr:cNvPicPr>
      </xdr:nvPicPr>
      <xdr:blipFill>
        <a:blip r:embed="rId1"/>
        <a:stretch>
          <a:fillRect/>
        </a:stretch>
      </xdr:blipFill>
      <xdr:spPr>
        <a:xfrm>
          <a:off x="9525" y="0"/>
          <a:ext cx="1933575" cy="371475"/>
        </a:xfrm>
        <a:prstGeom prst="rect">
          <a:avLst/>
        </a:prstGeom>
        <a:noFill/>
        <a:ln w="1" cmpd="sng">
          <a:noFill/>
        </a:ln>
      </xdr:spPr>
    </xdr:pic>
    <xdr:clientData/>
  </xdr:twoCellAnchor>
  <xdr:twoCellAnchor>
    <xdr:from>
      <xdr:col>10</xdr:col>
      <xdr:colOff>19050</xdr:colOff>
      <xdr:row>0</xdr:row>
      <xdr:rowOff>47625</xdr:rowOff>
    </xdr:from>
    <xdr:to>
      <xdr:col>10</xdr:col>
      <xdr:colOff>1114425</xdr:colOff>
      <xdr:row>2</xdr:row>
      <xdr:rowOff>28575</xdr:rowOff>
    </xdr:to>
    <xdr:pic>
      <xdr:nvPicPr>
        <xdr:cNvPr id="3" name="Picture 10" descr="Ibccocl"/>
        <xdr:cNvPicPr preferRelativeResize="1">
          <a:picLocks noChangeAspect="1"/>
        </xdr:cNvPicPr>
      </xdr:nvPicPr>
      <xdr:blipFill>
        <a:blip r:embed="rId2"/>
        <a:stretch>
          <a:fillRect/>
        </a:stretch>
      </xdr:blipFill>
      <xdr:spPr>
        <a:xfrm>
          <a:off x="6486525" y="47625"/>
          <a:ext cx="1095375" cy="304800"/>
        </a:xfrm>
        <a:prstGeom prst="rect">
          <a:avLst/>
        </a:prstGeom>
        <a:noFill/>
        <a:ln w="19050" cmpd="sng">
          <a:noFill/>
        </a:ln>
      </xdr:spPr>
    </xdr:pic>
    <xdr:clientData/>
  </xdr:twoCellAnchor>
  <xdr:twoCellAnchor editAs="oneCell">
    <xdr:from>
      <xdr:col>0</xdr:col>
      <xdr:colOff>171450</xdr:colOff>
      <xdr:row>2</xdr:row>
      <xdr:rowOff>19050</xdr:rowOff>
    </xdr:from>
    <xdr:to>
      <xdr:col>1</xdr:col>
      <xdr:colOff>733425</xdr:colOff>
      <xdr:row>3</xdr:row>
      <xdr:rowOff>123825</xdr:rowOff>
    </xdr:to>
    <xdr:pic>
      <xdr:nvPicPr>
        <xdr:cNvPr id="4" name="Picture 17"/>
        <xdr:cNvPicPr preferRelativeResize="1">
          <a:picLocks noChangeAspect="1"/>
        </xdr:cNvPicPr>
      </xdr:nvPicPr>
      <xdr:blipFill>
        <a:blip r:embed="rId3"/>
        <a:stretch>
          <a:fillRect/>
        </a:stretch>
      </xdr:blipFill>
      <xdr:spPr>
        <a:xfrm>
          <a:off x="171450" y="342900"/>
          <a:ext cx="1314450" cy="266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9</xdr:col>
      <xdr:colOff>228600</xdr:colOff>
      <xdr:row>65</xdr:row>
      <xdr:rowOff>9525</xdr:rowOff>
    </xdr:to>
    <xdr:sp>
      <xdr:nvSpPr>
        <xdr:cNvPr id="1" name="Text Box 1"/>
        <xdr:cNvSpPr txBox="1">
          <a:spLocks noChangeArrowheads="1"/>
        </xdr:cNvSpPr>
      </xdr:nvSpPr>
      <xdr:spPr>
        <a:xfrm>
          <a:off x="219075" y="171450"/>
          <a:ext cx="5495925" cy="10363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Polio in Cattle can be Caused by Sulfur Toxicity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Polioencephalomalacia (PEM) was first reported in 1956 and was described as a neurologic disorder of cattle characterized by blindness, ataxia, recumbancy and seizures.  The micropathologic description was a laminar cortical necrosis.  This description of PEM is still accurate 50 years later, but several additional causes have been identified.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Polioencephalomalacia in cattle was thought at one time to be caused exclusively by a thiamine deficiency.  The deficiency was thought to develop because the rumen did not produce enough thiamine or products such as amprolium inhibited thiamine production. Some of the confusion surrounding the cause of PEM is because there is no method to accurately evaluate thiamine status in animals.  It is now known that the laminar cortical necrosis observed in the brain can be caused by sulfur toxicity in addition to lead toxicity, salt toxicity, hypoxia, thiamine deficiency and vascular damage in general.  Sulfur toxicity is still responsive to thiamine treatment but is not caused by a thiamine deficiency.  At one time, blind staggers or PEM observed in Wyoming was thought to be caused by selenium toxicity.  This theory has now been discounted and the condition is known to be caused by sulfur toxicity.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sulfur is ingested in excess, rumen microbes produce too much hydrogen sulfide.  The soluble hydrosulfide anions stay in the rumen fluid phase and hydrogen sulfide gas accumulates in the rumen gas cap.  The hydrogen sulfide is absorbed across the rumen wall into the blood stream.  This elevated level of sulfide in the blood interferes with cellular energy production. Since the brain has a high requirement for energy production it is one of the most affected body systems.  Sulfide interferes with energy production much in the same way that cyanide does.  It is thought that sulfur and cyanide interfere with cytochrome oxidases, the terminal enzymes of respiratory chains in mitochondria.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Sulfur intake can occur in the feed or water so the total dietary intake of sulfur is needed in order to evaluate the risk of developing PEM.  This is especially pertinent in Iowa now because of ethanol byproducts, especially dried distillers grain with solubles (DDGS).  Ethanol byproducts may contain a high concentration of sulfur.  When cattle are transitioning to high sulfate intake conditions, the ruminal sulfide concentration peaks 1 to 3 weeks after the change.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maximum tolerable dietary concentration of sulfur is 0.4% of the ration on a dry matter basis. Not all cattle consuming 0.4% or more will develop clinical PEM.  Other factors such as ruminal microbial populations, trace element concentration or ruminal pH can affect sulfur production and absorption.  Insoluble metal sulfides of copper, iron or zinc could decrease the availability of sulfide.  As the pH decreases, the amount of hydrogen sulfide in the gas cap increases.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Sulfur associated PEM occurs in 2 forms. The acute form is characterized by blindness, recumbancy, seizures and death.  The subacute form is characterized by visual impairment and ataxia.  Twitching of the ears or facial muscles is frequently observed.  The subacute form is frequently followed by recovery with minor neurologic impairment.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best diagnostic specimen at this time is fixed brain.  We are currently investigating analysis of fresh brain and possible additional tissues for sulfide content. In PEM cases, it is also important to analyze water and feed for sulfur levels. There is much variability in the sulfur content from ethanol byproducts, both within an ethanol plant and between plants, so periodic sampling may have to be done to have an accurate idea of the dietary intake of sulfur. Please contact the diagnostic laboratory for the latest information on submission of samples from PEM cases.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no specific treatment for PEM, treatment is supportive.  Parenteral thiamine and glucocorticoids may have nonspecific beneficial effects.  When animals go off feed with PEM, production of sulfide ceases and this is one of the reasons subacutely affected animals recover without treatment.  Removal of animals from sulfur sources is the most important control measure.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U108"/>
  <sheetViews>
    <sheetView showGridLines="0" showRowColHeaders="0" tabSelected="1" zoomScalePageLayoutView="0" workbookViewId="0" topLeftCell="A88">
      <selection activeCell="X43" sqref="X43"/>
    </sheetView>
  </sheetViews>
  <sheetFormatPr defaultColWidth="9.140625" defaultRowHeight="12.75"/>
  <cols>
    <col min="1" max="1" width="11.28125" style="0" bestFit="1" customWidth="1"/>
    <col min="2" max="2" width="10.7109375" style="0" customWidth="1"/>
    <col min="5" max="5" width="10.28125" style="0" bestFit="1" customWidth="1"/>
    <col min="14" max="15" width="0.85546875" style="0" customWidth="1"/>
  </cols>
  <sheetData>
    <row r="1" spans="12:21" ht="12.75">
      <c r="L1" s="3"/>
      <c r="M1" s="3"/>
      <c r="N1" s="141"/>
      <c r="O1" s="140"/>
      <c r="P1" s="3"/>
      <c r="Q1" s="3"/>
      <c r="R1" s="3"/>
      <c r="S1" s="3"/>
      <c r="T1" s="3"/>
      <c r="U1" s="3"/>
    </row>
    <row r="2" spans="12:21" ht="12.75">
      <c r="L2" s="3"/>
      <c r="M2" s="3"/>
      <c r="N2" s="141"/>
      <c r="O2" s="140"/>
      <c r="P2" s="3"/>
      <c r="Q2" s="3"/>
      <c r="R2" s="3"/>
      <c r="S2" s="3"/>
      <c r="T2" s="3"/>
      <c r="U2" s="3"/>
    </row>
    <row r="3" spans="12:21" ht="12.75">
      <c r="L3" s="3"/>
      <c r="M3" s="3"/>
      <c r="N3" s="141"/>
      <c r="O3" s="140"/>
      <c r="P3" s="3"/>
      <c r="Q3" s="3"/>
      <c r="R3" s="3"/>
      <c r="S3" s="3"/>
      <c r="T3" s="3"/>
      <c r="U3" s="3"/>
    </row>
    <row r="4" spans="2:21" ht="14.25">
      <c r="B4" s="7"/>
      <c r="L4" s="3"/>
      <c r="M4" s="3"/>
      <c r="N4" s="141"/>
      <c r="O4" s="140"/>
      <c r="P4" s="3"/>
      <c r="Q4" s="3"/>
      <c r="R4" s="3"/>
      <c r="S4" s="3"/>
      <c r="T4" s="3"/>
      <c r="U4" s="3"/>
    </row>
    <row r="5" spans="1:21" ht="45">
      <c r="A5" s="116" t="s">
        <v>78</v>
      </c>
      <c r="F5" s="6"/>
      <c r="L5" s="3"/>
      <c r="M5" s="3"/>
      <c r="N5" s="141"/>
      <c r="O5" s="140"/>
      <c r="P5" s="3"/>
      <c r="Q5" s="3"/>
      <c r="R5" s="3"/>
      <c r="S5" s="3"/>
      <c r="T5" s="3"/>
      <c r="U5" s="3"/>
    </row>
    <row r="6" spans="12:21" ht="13.5" thickBot="1">
      <c r="L6" s="3"/>
      <c r="M6" s="3"/>
      <c r="N6" s="141"/>
      <c r="O6" s="140"/>
      <c r="P6" s="3"/>
      <c r="Q6" s="3"/>
      <c r="R6" s="3"/>
      <c r="S6" s="3"/>
      <c r="T6" s="3"/>
      <c r="U6" s="3"/>
    </row>
    <row r="7" spans="1:21" ht="13.5" thickBot="1">
      <c r="A7" s="152" t="s">
        <v>45</v>
      </c>
      <c r="B7" s="142"/>
      <c r="C7" s="142"/>
      <c r="D7" s="142"/>
      <c r="E7" s="142"/>
      <c r="F7" s="142"/>
      <c r="G7" s="142"/>
      <c r="H7" s="142"/>
      <c r="I7" s="142"/>
      <c r="J7" s="142"/>
      <c r="K7" s="143"/>
      <c r="L7" s="3"/>
      <c r="M7" s="3"/>
      <c r="N7" s="141"/>
      <c r="O7" s="140"/>
      <c r="P7" s="3"/>
      <c r="Q7" s="3"/>
      <c r="R7" s="3"/>
      <c r="S7" s="3"/>
      <c r="T7" s="3"/>
      <c r="U7" s="3"/>
    </row>
    <row r="8" spans="1:21" ht="15" customHeight="1">
      <c r="A8" s="154"/>
      <c r="B8" s="154"/>
      <c r="C8" s="154"/>
      <c r="D8" s="154"/>
      <c r="E8" s="154"/>
      <c r="F8" s="154"/>
      <c r="G8" s="154"/>
      <c r="H8" s="154"/>
      <c r="I8" s="154"/>
      <c r="J8" s="154"/>
      <c r="K8" s="154"/>
      <c r="L8" s="3"/>
      <c r="M8" s="3"/>
      <c r="N8" s="141"/>
      <c r="O8" s="140"/>
      <c r="P8" s="3"/>
      <c r="Q8" s="3"/>
      <c r="R8" s="3"/>
      <c r="S8" s="3"/>
      <c r="T8" s="3"/>
      <c r="U8" s="3"/>
    </row>
    <row r="9" spans="1:21" ht="15.75">
      <c r="A9" s="193"/>
      <c r="B9" s="154"/>
      <c r="C9" s="154"/>
      <c r="D9" s="154"/>
      <c r="E9" s="154"/>
      <c r="F9" s="154"/>
      <c r="G9" s="154"/>
      <c r="H9" s="194" t="s">
        <v>4</v>
      </c>
      <c r="I9" s="144"/>
      <c r="J9" s="145"/>
      <c r="K9" s="154"/>
      <c r="L9" s="3"/>
      <c r="M9" s="3"/>
      <c r="N9" s="141"/>
      <c r="O9" s="140"/>
      <c r="P9" s="3"/>
      <c r="Q9" s="3"/>
      <c r="R9" s="3"/>
      <c r="S9" s="3"/>
      <c r="T9" s="3"/>
      <c r="U9" s="3"/>
    </row>
    <row r="10" spans="1:21" ht="15.75">
      <c r="A10" s="153" t="s">
        <v>21</v>
      </c>
      <c r="B10" s="154"/>
      <c r="C10" s="154"/>
      <c r="D10" s="154"/>
      <c r="E10" s="154"/>
      <c r="F10" s="154"/>
      <c r="G10" s="154"/>
      <c r="H10" s="194"/>
      <c r="I10" s="195"/>
      <c r="J10" s="195"/>
      <c r="K10" s="154"/>
      <c r="L10" s="3"/>
      <c r="M10" s="3"/>
      <c r="N10" s="141"/>
      <c r="O10" s="140"/>
      <c r="P10" s="3"/>
      <c r="Q10" s="3"/>
      <c r="R10" s="3"/>
      <c r="S10" s="3"/>
      <c r="T10" s="3"/>
      <c r="U10" s="3"/>
    </row>
    <row r="11" spans="1:21" ht="16.5" thickBot="1">
      <c r="A11" s="194"/>
      <c r="B11" s="199"/>
      <c r="C11" s="199"/>
      <c r="D11" s="199"/>
      <c r="E11" s="154"/>
      <c r="F11" s="154"/>
      <c r="G11" s="194" t="s">
        <v>0</v>
      </c>
      <c r="H11" s="199"/>
      <c r="I11" s="199"/>
      <c r="J11" s="199"/>
      <c r="K11" s="154"/>
      <c r="L11" s="3"/>
      <c r="M11" s="3"/>
      <c r="N11" s="141"/>
      <c r="O11" s="140"/>
      <c r="P11" s="3"/>
      <c r="Q11" s="3"/>
      <c r="R11" s="3"/>
      <c r="S11" s="3"/>
      <c r="T11" s="3"/>
      <c r="U11" s="3"/>
    </row>
    <row r="12" spans="1:21" ht="15.75">
      <c r="A12" s="154"/>
      <c r="B12" s="154"/>
      <c r="C12" s="154"/>
      <c r="D12" s="154"/>
      <c r="E12" s="154"/>
      <c r="F12" s="154"/>
      <c r="G12" s="194" t="s">
        <v>1</v>
      </c>
      <c r="H12" s="200"/>
      <c r="I12" s="200"/>
      <c r="J12" s="200"/>
      <c r="K12" s="154"/>
      <c r="L12" s="3"/>
      <c r="M12" s="3"/>
      <c r="N12" s="141"/>
      <c r="O12" s="140"/>
      <c r="P12" s="3"/>
      <c r="Q12" s="3"/>
      <c r="R12" s="3"/>
      <c r="S12" s="3"/>
      <c r="T12" s="3"/>
      <c r="U12" s="3"/>
    </row>
    <row r="13" spans="1:21" ht="15.75">
      <c r="A13" s="154"/>
      <c r="B13" s="154"/>
      <c r="C13" s="154"/>
      <c r="D13" s="154"/>
      <c r="E13" s="154"/>
      <c r="F13" s="154"/>
      <c r="G13" s="194"/>
      <c r="H13" s="201"/>
      <c r="I13" s="201"/>
      <c r="J13" s="201"/>
      <c r="K13" s="154"/>
      <c r="L13" s="3"/>
      <c r="M13" s="3"/>
      <c r="N13" s="141"/>
      <c r="O13" s="140"/>
      <c r="P13" s="3"/>
      <c r="Q13" s="3"/>
      <c r="R13" s="3"/>
      <c r="S13" s="3"/>
      <c r="T13" s="3"/>
      <c r="U13" s="3"/>
    </row>
    <row r="14" spans="1:21" ht="16.5" thickBot="1">
      <c r="A14" s="154"/>
      <c r="B14" s="154"/>
      <c r="C14" s="154"/>
      <c r="D14" s="154"/>
      <c r="E14" s="154"/>
      <c r="F14" s="154"/>
      <c r="G14" s="194"/>
      <c r="H14" s="199"/>
      <c r="I14" s="199"/>
      <c r="J14" s="199"/>
      <c r="K14" s="154"/>
      <c r="L14" s="3"/>
      <c r="M14" s="3"/>
      <c r="N14" s="141"/>
      <c r="O14" s="140"/>
      <c r="P14" s="3"/>
      <c r="Q14" s="3"/>
      <c r="R14" s="3"/>
      <c r="S14" s="3"/>
      <c r="T14" s="3"/>
      <c r="U14" s="3"/>
    </row>
    <row r="15" spans="1:21" ht="15.75">
      <c r="A15" s="154"/>
      <c r="B15" s="154"/>
      <c r="C15" s="154"/>
      <c r="D15" s="154"/>
      <c r="E15" s="154"/>
      <c r="F15" s="154"/>
      <c r="G15" s="194" t="s">
        <v>2</v>
      </c>
      <c r="H15" s="200"/>
      <c r="I15" s="200"/>
      <c r="J15" s="200"/>
      <c r="K15" s="154"/>
      <c r="L15" s="3"/>
      <c r="M15" s="3"/>
      <c r="N15" s="141"/>
      <c r="O15" s="140"/>
      <c r="P15" s="3"/>
      <c r="Q15" s="3"/>
      <c r="R15" s="3"/>
      <c r="S15" s="3"/>
      <c r="T15" s="3"/>
      <c r="U15" s="3"/>
    </row>
    <row r="16" spans="1:21" ht="18">
      <c r="A16" s="202" t="s">
        <v>3</v>
      </c>
      <c r="B16" s="154"/>
      <c r="C16" s="154"/>
      <c r="D16" s="154"/>
      <c r="E16" s="154"/>
      <c r="F16" s="154"/>
      <c r="G16" s="154"/>
      <c r="H16" s="154"/>
      <c r="I16" s="154"/>
      <c r="J16" s="154"/>
      <c r="K16" s="154"/>
      <c r="L16" s="3"/>
      <c r="M16" s="3"/>
      <c r="N16" s="141"/>
      <c r="O16" s="140"/>
      <c r="P16" s="3"/>
      <c r="Q16" s="3"/>
      <c r="R16" s="3"/>
      <c r="S16" s="3"/>
      <c r="T16" s="3"/>
      <c r="U16" s="3"/>
    </row>
    <row r="17" spans="1:21" ht="24.75" customHeight="1">
      <c r="A17" s="154"/>
      <c r="B17" s="153" t="s">
        <v>33</v>
      </c>
      <c r="C17" s="154"/>
      <c r="D17" s="154"/>
      <c r="E17" s="154"/>
      <c r="F17" s="146">
        <v>1</v>
      </c>
      <c r="G17" s="196" t="s">
        <v>25</v>
      </c>
      <c r="H17" s="155"/>
      <c r="I17" s="154"/>
      <c r="J17" s="154"/>
      <c r="K17" s="154"/>
      <c r="L17" s="3"/>
      <c r="M17" s="3"/>
      <c r="N17" s="141"/>
      <c r="O17" s="140"/>
      <c r="P17" s="3"/>
      <c r="Q17" s="3"/>
      <c r="R17" s="3"/>
      <c r="S17" s="3"/>
      <c r="T17" s="3"/>
      <c r="U17" s="3"/>
    </row>
    <row r="18" spans="1:21" ht="24.75" customHeight="1">
      <c r="A18" s="154"/>
      <c r="B18" s="153" t="s">
        <v>7</v>
      </c>
      <c r="C18" s="154"/>
      <c r="D18" s="154"/>
      <c r="E18" s="154"/>
      <c r="F18" s="146">
        <v>700</v>
      </c>
      <c r="G18" s="196" t="s">
        <v>22</v>
      </c>
      <c r="H18" s="149">
        <f>F18*0.4535924</f>
        <v>317.51468</v>
      </c>
      <c r="I18" s="196" t="s">
        <v>23</v>
      </c>
      <c r="J18" s="154"/>
      <c r="K18" s="154"/>
      <c r="L18" s="3"/>
      <c r="M18" s="3"/>
      <c r="N18" s="141"/>
      <c r="O18" s="140"/>
      <c r="P18" s="3"/>
      <c r="Q18" s="3"/>
      <c r="R18" s="3"/>
      <c r="S18" s="3"/>
      <c r="T18" s="3"/>
      <c r="U18" s="3"/>
    </row>
    <row r="19" spans="1:21" ht="24.75" customHeight="1">
      <c r="A19" s="157"/>
      <c r="B19" s="153" t="s">
        <v>20</v>
      </c>
      <c r="C19" s="154"/>
      <c r="D19" s="196" t="s">
        <v>87</v>
      </c>
      <c r="E19" s="154"/>
      <c r="F19" s="146">
        <v>41</v>
      </c>
      <c r="G19" s="196" t="s">
        <v>22</v>
      </c>
      <c r="H19" s="149">
        <f>F19*0.4535924</f>
        <v>18.5972884</v>
      </c>
      <c r="I19" s="196" t="s">
        <v>23</v>
      </c>
      <c r="J19" s="154"/>
      <c r="K19" s="154"/>
      <c r="L19" s="3"/>
      <c r="M19" s="3"/>
      <c r="N19" s="141"/>
      <c r="O19" s="140"/>
      <c r="P19" s="3"/>
      <c r="Q19" s="3"/>
      <c r="R19" s="3"/>
      <c r="S19" s="3"/>
      <c r="T19" s="3"/>
      <c r="U19" s="3"/>
    </row>
    <row r="20" spans="1:21" ht="24.75" customHeight="1">
      <c r="A20" s="154"/>
      <c r="B20" s="153" t="s">
        <v>48</v>
      </c>
      <c r="C20" s="154"/>
      <c r="D20" s="154"/>
      <c r="E20" s="154"/>
      <c r="F20" s="147">
        <v>52</v>
      </c>
      <c r="G20" s="196" t="s">
        <v>16</v>
      </c>
      <c r="H20" s="149">
        <f>(100-F20)*0.01*H19</f>
        <v>8.926698432</v>
      </c>
      <c r="I20" s="196" t="s">
        <v>24</v>
      </c>
      <c r="J20" s="148">
        <f>H20*2.2</f>
        <v>19.6387365504</v>
      </c>
      <c r="K20" s="196" t="s">
        <v>86</v>
      </c>
      <c r="L20" s="3"/>
      <c r="M20" s="3"/>
      <c r="N20" s="141"/>
      <c r="O20" s="140"/>
      <c r="P20" s="3"/>
      <c r="Q20" s="3"/>
      <c r="R20" s="3"/>
      <c r="S20" s="3"/>
      <c r="T20" s="3"/>
      <c r="U20" s="3"/>
    </row>
    <row r="21" spans="1:21" ht="15" customHeight="1">
      <c r="A21" s="154"/>
      <c r="B21" s="153"/>
      <c r="C21" s="154"/>
      <c r="D21" s="154"/>
      <c r="E21" s="154"/>
      <c r="F21" s="197"/>
      <c r="G21" s="198"/>
      <c r="H21" s="154"/>
      <c r="I21" s="154"/>
      <c r="J21" s="154"/>
      <c r="K21" s="154"/>
      <c r="L21" s="3"/>
      <c r="M21" s="3"/>
      <c r="N21" s="141"/>
      <c r="O21" s="140"/>
      <c r="P21" s="3"/>
      <c r="Q21" s="3"/>
      <c r="R21" s="3"/>
      <c r="S21" s="3"/>
      <c r="T21" s="3"/>
      <c r="U21" s="3"/>
    </row>
    <row r="22" spans="1:21" ht="24.75" customHeight="1">
      <c r="A22" s="150" t="str">
        <f>IF(F17=1,"-  TMR Sample Submitted","skip down to next section- Feed Ingredient Sample Submitted")</f>
        <v>-  TMR Sample Submitted</v>
      </c>
      <c r="B22" s="140"/>
      <c r="C22" s="140"/>
      <c r="D22" s="140"/>
      <c r="E22" s="140"/>
      <c r="F22" s="140"/>
      <c r="G22" s="140"/>
      <c r="H22" s="140"/>
      <c r="I22" s="140"/>
      <c r="J22" s="140"/>
      <c r="K22" s="140"/>
      <c r="L22" s="3"/>
      <c r="M22" s="3"/>
      <c r="N22" s="141"/>
      <c r="O22" s="140"/>
      <c r="P22" s="3"/>
      <c r="Q22" s="3"/>
      <c r="R22" s="3"/>
      <c r="S22" s="3"/>
      <c r="T22" s="3"/>
      <c r="U22" s="3"/>
    </row>
    <row r="23" spans="1:21" ht="24.75" customHeight="1">
      <c r="A23" s="228" t="str">
        <f>IF(F17=1,"&gt;&gt;&gt;&gt;&gt;&gt;","")</f>
        <v>&gt;&gt;&gt;&gt;&gt;&gt;</v>
      </c>
      <c r="B23" s="153"/>
      <c r="C23" s="154"/>
      <c r="D23" s="154"/>
      <c r="E23" s="153" t="s">
        <v>9</v>
      </c>
      <c r="F23" s="154"/>
      <c r="G23" s="153"/>
      <c r="H23" s="155"/>
      <c r="I23" s="154"/>
      <c r="J23" s="154"/>
      <c r="K23" s="154"/>
      <c r="L23" s="3"/>
      <c r="M23" s="3"/>
      <c r="N23" s="141"/>
      <c r="O23" s="140"/>
      <c r="P23" s="3"/>
      <c r="Q23" s="3"/>
      <c r="R23" s="3"/>
      <c r="S23" s="3"/>
      <c r="T23" s="3"/>
      <c r="U23" s="3"/>
    </row>
    <row r="24" spans="1:21" ht="15" customHeight="1">
      <c r="A24" s="154"/>
      <c r="B24" s="154"/>
      <c r="C24" s="154"/>
      <c r="D24" s="154"/>
      <c r="E24" s="154"/>
      <c r="F24" s="155" t="s">
        <v>39</v>
      </c>
      <c r="G24" s="156" t="s">
        <v>5</v>
      </c>
      <c r="H24" s="155" t="s">
        <v>6</v>
      </c>
      <c r="I24" s="154"/>
      <c r="J24" s="154"/>
      <c r="K24" s="154"/>
      <c r="L24" s="3"/>
      <c r="M24" s="3"/>
      <c r="N24" s="141"/>
      <c r="O24" s="140"/>
      <c r="P24" s="3"/>
      <c r="Q24" s="3"/>
      <c r="R24" s="3"/>
      <c r="S24" s="3"/>
      <c r="T24" s="3"/>
      <c r="U24" s="3"/>
    </row>
    <row r="25" spans="1:21" ht="24.75" customHeight="1" thickBot="1">
      <c r="A25" s="154"/>
      <c r="B25" s="153" t="s">
        <v>50</v>
      </c>
      <c r="C25" s="154"/>
      <c r="D25" s="154"/>
      <c r="E25" s="154"/>
      <c r="F25" s="203"/>
      <c r="G25" s="196" t="s">
        <v>15</v>
      </c>
      <c r="H25" s="203">
        <v>500</v>
      </c>
      <c r="I25" s="196" t="s">
        <v>15</v>
      </c>
      <c r="J25" s="154"/>
      <c r="K25" s="154"/>
      <c r="L25" s="3">
        <f>IF(F25=0,H25/3,F25)</f>
        <v>166.66666666666666</v>
      </c>
      <c r="M25" s="3"/>
      <c r="N25" s="141"/>
      <c r="O25" s="140"/>
      <c r="P25" s="14">
        <v>40</v>
      </c>
      <c r="Q25" s="14">
        <v>70</v>
      </c>
      <c r="R25" s="14">
        <v>90</v>
      </c>
      <c r="S25" s="14"/>
      <c r="T25" s="3"/>
      <c r="U25" s="3"/>
    </row>
    <row r="26" spans="1:21" ht="24.75" customHeight="1">
      <c r="A26" s="225" t="s">
        <v>8</v>
      </c>
      <c r="B26" s="158" t="s">
        <v>49</v>
      </c>
      <c r="C26" s="159"/>
      <c r="D26" s="159"/>
      <c r="E26" s="159"/>
      <c r="F26" s="204"/>
      <c r="G26" s="219" t="s">
        <v>15</v>
      </c>
      <c r="H26" s="204">
        <v>4420</v>
      </c>
      <c r="I26" s="220" t="s">
        <v>15</v>
      </c>
      <c r="J26" s="154"/>
      <c r="K26" s="154"/>
      <c r="L26" s="3">
        <f>IF(F26=0,H26/3,F26)</f>
        <v>1473.3333333333333</v>
      </c>
      <c r="M26" s="3"/>
      <c r="N26" s="141"/>
      <c r="O26" s="140"/>
      <c r="P26" s="14">
        <f>0.08*H18*L25</f>
        <v>4233.529066666667</v>
      </c>
      <c r="Q26" s="14">
        <f>0.1*H18*L25</f>
        <v>5291.9113333333335</v>
      </c>
      <c r="R26" s="14">
        <f>0.18*H18*L25</f>
        <v>9525.4404</v>
      </c>
      <c r="S26" s="14" t="s">
        <v>10</v>
      </c>
      <c r="T26" s="3"/>
      <c r="U26" s="3"/>
    </row>
    <row r="27" spans="1:21" ht="15" customHeight="1">
      <c r="A27" s="160"/>
      <c r="B27" s="161"/>
      <c r="C27" s="162" t="s">
        <v>5</v>
      </c>
      <c r="D27" s="163"/>
      <c r="E27" s="163"/>
      <c r="F27" s="164"/>
      <c r="G27" s="165"/>
      <c r="H27" s="164"/>
      <c r="I27" s="166"/>
      <c r="J27" s="154"/>
      <c r="K27" s="154"/>
      <c r="L27" s="3"/>
      <c r="M27" s="3"/>
      <c r="N27" s="141"/>
      <c r="O27" s="140"/>
      <c r="P27" s="14">
        <f>H20*L26</f>
        <v>13152.00235648</v>
      </c>
      <c r="Q27" s="14"/>
      <c r="R27" s="14"/>
      <c r="S27" s="14"/>
      <c r="T27" s="3"/>
      <c r="U27" s="3"/>
    </row>
    <row r="28" spans="1:21" ht="24.75" customHeight="1" thickBot="1">
      <c r="A28" s="226" t="s">
        <v>8</v>
      </c>
      <c r="B28" s="167" t="s">
        <v>51</v>
      </c>
      <c r="C28" s="168"/>
      <c r="D28" s="168"/>
      <c r="E28" s="168"/>
      <c r="F28" s="205"/>
      <c r="G28" s="218" t="s">
        <v>16</v>
      </c>
      <c r="H28" s="169"/>
      <c r="I28" s="217" t="s">
        <v>16</v>
      </c>
      <c r="J28" s="154"/>
      <c r="K28" s="154"/>
      <c r="L28" s="3">
        <f>IF(F28=0,H28/3,F28)</f>
        <v>0</v>
      </c>
      <c r="M28" s="3"/>
      <c r="N28" s="141"/>
      <c r="O28" s="140"/>
      <c r="P28" s="14"/>
      <c r="Q28" s="14"/>
      <c r="R28" s="14"/>
      <c r="S28" s="14"/>
      <c r="T28" s="3"/>
      <c r="U28" s="3"/>
    </row>
    <row r="29" spans="1:21" ht="15" customHeight="1">
      <c r="A29" s="154"/>
      <c r="B29" s="154"/>
      <c r="C29" s="154"/>
      <c r="D29" s="154"/>
      <c r="E29" s="154"/>
      <c r="F29" s="170"/>
      <c r="G29" s="163"/>
      <c r="H29" s="170"/>
      <c r="I29" s="154"/>
      <c r="J29" s="154"/>
      <c r="K29" s="154"/>
      <c r="L29" s="3"/>
      <c r="M29" s="3"/>
      <c r="N29" s="141"/>
      <c r="O29" s="140"/>
      <c r="P29" s="14">
        <f>L28*0.01*H20*1000000</f>
        <v>0</v>
      </c>
      <c r="Q29" s="14"/>
      <c r="R29" s="14"/>
      <c r="S29" s="14"/>
      <c r="T29" s="3"/>
      <c r="U29" s="3"/>
    </row>
    <row r="30" spans="1:21" ht="15" customHeight="1">
      <c r="A30" s="227" t="s">
        <v>14</v>
      </c>
      <c r="B30" s="171"/>
      <c r="C30" s="171"/>
      <c r="D30" s="171"/>
      <c r="E30" s="172" t="s">
        <v>13</v>
      </c>
      <c r="F30" s="173"/>
      <c r="G30" s="174"/>
      <c r="H30" s="175"/>
      <c r="I30" s="171"/>
      <c r="J30" s="171"/>
      <c r="K30" s="171"/>
      <c r="L30" s="3"/>
      <c r="M30" s="3"/>
      <c r="N30" s="141"/>
      <c r="O30" s="140"/>
      <c r="P30" s="14"/>
      <c r="Q30" s="14"/>
      <c r="R30" s="14"/>
      <c r="S30" s="14"/>
      <c r="T30" s="3"/>
      <c r="U30" s="3"/>
    </row>
    <row r="31" spans="1:21" ht="15" customHeight="1" thickBot="1">
      <c r="A31" s="176"/>
      <c r="B31" s="171"/>
      <c r="C31" s="171"/>
      <c r="D31" s="171"/>
      <c r="E31" s="171"/>
      <c r="F31" s="177">
        <v>40</v>
      </c>
      <c r="G31" s="178">
        <v>70</v>
      </c>
      <c r="H31" s="177">
        <v>90</v>
      </c>
      <c r="I31" s="171"/>
      <c r="J31" s="171"/>
      <c r="K31" s="171"/>
      <c r="L31" s="3"/>
      <c r="M31" s="3"/>
      <c r="N31" s="141"/>
      <c r="O31" s="140"/>
      <c r="P31" s="14">
        <f>IF(P29&gt;1,P29+P26,P27+P26)</f>
        <v>17385.531423146665</v>
      </c>
      <c r="Q31" s="14">
        <f>IF(P29&gt;1,P29+Q26,P27+Q26)</f>
        <v>18443.913689813333</v>
      </c>
      <c r="R31" s="14">
        <f>IF(P29&gt;1,P29+R26,P27+R26)</f>
        <v>22677.44275648</v>
      </c>
      <c r="S31" s="14" t="s">
        <v>11</v>
      </c>
      <c r="T31" s="3"/>
      <c r="U31" s="3"/>
    </row>
    <row r="32" spans="1:21" ht="24.75" customHeight="1">
      <c r="A32" s="176"/>
      <c r="B32" s="179" t="s">
        <v>43</v>
      </c>
      <c r="C32" s="171"/>
      <c r="D32" s="171"/>
      <c r="E32" s="171"/>
      <c r="F32" s="206">
        <f>P32*100</f>
        <v>0.19475880758807587</v>
      </c>
      <c r="G32" s="207">
        <f>Q32*100</f>
        <v>0.2066151761517615</v>
      </c>
      <c r="H32" s="206">
        <f>R32*100</f>
        <v>0.25404065040650403</v>
      </c>
      <c r="I32" s="216" t="s">
        <v>16</v>
      </c>
      <c r="J32" s="171"/>
      <c r="K32" s="171"/>
      <c r="L32" s="3"/>
      <c r="M32" s="3"/>
      <c r="N32" s="141"/>
      <c r="O32" s="140"/>
      <c r="P32" s="15">
        <f>P31/($H$20*1000000)</f>
        <v>0.0019475880758807586</v>
      </c>
      <c r="Q32" s="15">
        <f>Q31/($H$20*1000000)</f>
        <v>0.002066151761517615</v>
      </c>
      <c r="R32" s="15">
        <f>R31/($H$20*1000000)</f>
        <v>0.0025404065040650404</v>
      </c>
      <c r="S32" s="14"/>
      <c r="T32" s="3"/>
      <c r="U32" s="3"/>
    </row>
    <row r="33" spans="1:21" ht="24.75" customHeight="1">
      <c r="A33" s="171"/>
      <c r="B33" s="179" t="s">
        <v>41</v>
      </c>
      <c r="C33" s="171"/>
      <c r="D33" s="171"/>
      <c r="E33" s="171"/>
      <c r="F33" s="208">
        <f>P31/1000</f>
        <v>17.385531423146666</v>
      </c>
      <c r="G33" s="208">
        <f>Q31/1000</f>
        <v>18.443913689813332</v>
      </c>
      <c r="H33" s="208">
        <f>R31/1000</f>
        <v>22.677442756479998</v>
      </c>
      <c r="I33" s="216" t="s">
        <v>42</v>
      </c>
      <c r="J33" s="171"/>
      <c r="K33" s="171"/>
      <c r="L33" s="3"/>
      <c r="M33" s="3"/>
      <c r="N33" s="141"/>
      <c r="O33" s="140"/>
      <c r="P33" s="12"/>
      <c r="Q33" s="12"/>
      <c r="R33" s="12"/>
      <c r="S33" s="3"/>
      <c r="T33" s="3"/>
      <c r="U33" s="3"/>
    </row>
    <row r="34" spans="1:21" ht="24.75" customHeight="1">
      <c r="A34" s="171"/>
      <c r="B34" s="179" t="s">
        <v>44</v>
      </c>
      <c r="C34" s="171"/>
      <c r="D34" s="171"/>
      <c r="E34" s="171"/>
      <c r="F34" s="208">
        <f>P26/$P$31*100</f>
        <v>24.35087524003006</v>
      </c>
      <c r="G34" s="208">
        <f>Q26/$P$31*100</f>
        <v>30.438594050037572</v>
      </c>
      <c r="H34" s="208">
        <f>R26/$P$31*100</f>
        <v>54.78946929006763</v>
      </c>
      <c r="I34" s="216" t="s">
        <v>16</v>
      </c>
      <c r="J34" s="171"/>
      <c r="K34" s="171"/>
      <c r="L34" s="3"/>
      <c r="M34" s="3"/>
      <c r="N34" s="141"/>
      <c r="O34" s="140"/>
      <c r="P34" s="12"/>
      <c r="Q34" s="12"/>
      <c r="R34" s="12"/>
      <c r="S34" s="3"/>
      <c r="T34" s="3"/>
      <c r="U34" s="3"/>
    </row>
    <row r="35" spans="1:21" ht="15" customHeight="1">
      <c r="A35" s="171"/>
      <c r="B35" s="171"/>
      <c r="C35" s="171"/>
      <c r="D35" s="171"/>
      <c r="E35" s="171"/>
      <c r="F35" s="171"/>
      <c r="G35" s="171"/>
      <c r="H35" s="171"/>
      <c r="I35" s="171"/>
      <c r="J35" s="171"/>
      <c r="K35" s="171"/>
      <c r="L35" s="3"/>
      <c r="M35" s="3"/>
      <c r="N35" s="141"/>
      <c r="O35" s="140"/>
      <c r="P35" s="3"/>
      <c r="Q35" s="3"/>
      <c r="R35" s="3"/>
      <c r="S35" s="3"/>
      <c r="T35" s="3"/>
      <c r="U35" s="3"/>
    </row>
    <row r="36" spans="1:21" ht="24.75" customHeight="1">
      <c r="A36" s="150" t="str">
        <f>IF(F17=2,"  -  Feed Ingredient Sample Submitted","TMR submitted, ignore this area")</f>
        <v>TMR submitted, ignore this area</v>
      </c>
      <c r="B36" s="151"/>
      <c r="C36" s="151"/>
      <c r="D36" s="151"/>
      <c r="E36" s="151"/>
      <c r="F36" s="151"/>
      <c r="G36" s="151"/>
      <c r="H36" s="151"/>
      <c r="I36" s="151"/>
      <c r="J36" s="151"/>
      <c r="K36" s="151"/>
      <c r="L36" s="3"/>
      <c r="M36" s="3"/>
      <c r="N36" s="141"/>
      <c r="O36" s="140"/>
      <c r="P36" s="3"/>
      <c r="Q36" s="3"/>
      <c r="R36" s="3"/>
      <c r="S36" s="3"/>
      <c r="T36" s="3"/>
      <c r="U36" s="3"/>
    </row>
    <row r="37" spans="1:21" ht="22.5" customHeight="1">
      <c r="A37" s="180">
        <f>IF(F17=1,"","&gt;&gt;&gt;&gt;&gt;&gt;")</f>
      </c>
      <c r="B37" s="154"/>
      <c r="C37" s="154"/>
      <c r="D37" s="154"/>
      <c r="E37" s="154"/>
      <c r="F37" s="154"/>
      <c r="G37" s="154"/>
      <c r="H37" s="154"/>
      <c r="I37" s="154"/>
      <c r="J37" s="154"/>
      <c r="K37" s="154"/>
      <c r="L37" s="3"/>
      <c r="M37" s="3"/>
      <c r="N37" s="141"/>
      <c r="O37" s="140"/>
      <c r="P37" s="3"/>
      <c r="Q37" s="3"/>
      <c r="R37" s="3"/>
      <c r="S37" s="3"/>
      <c r="T37" s="3"/>
      <c r="U37" s="3"/>
    </row>
    <row r="38" spans="1:21" ht="24.75" customHeight="1">
      <c r="A38" s="181"/>
      <c r="B38" s="153" t="s">
        <v>54</v>
      </c>
      <c r="C38" s="154"/>
      <c r="D38" s="154"/>
      <c r="E38" s="153"/>
      <c r="F38" s="146">
        <v>65</v>
      </c>
      <c r="G38" s="196" t="s">
        <v>16</v>
      </c>
      <c r="H38" s="155"/>
      <c r="I38" s="154"/>
      <c r="J38" s="154"/>
      <c r="K38" s="154"/>
      <c r="L38" s="3"/>
      <c r="M38" s="3"/>
      <c r="N38" s="141"/>
      <c r="O38" s="140"/>
      <c r="P38" s="14"/>
      <c r="Q38" s="14"/>
      <c r="R38" s="14"/>
      <c r="S38" s="14"/>
      <c r="T38" s="14"/>
      <c r="U38" s="14"/>
    </row>
    <row r="39" spans="1:21" ht="24.75" customHeight="1">
      <c r="A39" s="154"/>
      <c r="B39" s="153"/>
      <c r="C39" s="154"/>
      <c r="D39" s="154"/>
      <c r="E39" s="153" t="s">
        <v>9</v>
      </c>
      <c r="F39" s="154"/>
      <c r="G39" s="157"/>
      <c r="H39" s="154"/>
      <c r="I39" s="154"/>
      <c r="J39" s="154"/>
      <c r="K39" s="154"/>
      <c r="L39" s="3"/>
      <c r="M39" s="3"/>
      <c r="N39" s="141"/>
      <c r="O39" s="140"/>
      <c r="P39" s="14">
        <v>40</v>
      </c>
      <c r="Q39" s="14">
        <v>70</v>
      </c>
      <c r="R39" s="14">
        <v>90</v>
      </c>
      <c r="S39" s="14"/>
      <c r="T39" s="14"/>
      <c r="U39" s="14"/>
    </row>
    <row r="40" spans="1:21" ht="24.75" customHeight="1">
      <c r="A40" s="154"/>
      <c r="B40" s="153" t="s">
        <v>35</v>
      </c>
      <c r="C40" s="154"/>
      <c r="D40" s="154"/>
      <c r="E40" s="154"/>
      <c r="F40" s="155" t="s">
        <v>39</v>
      </c>
      <c r="G40" s="156" t="s">
        <v>5</v>
      </c>
      <c r="H40" s="155" t="s">
        <v>6</v>
      </c>
      <c r="I40" s="154"/>
      <c r="J40" s="154"/>
      <c r="K40" s="154"/>
      <c r="L40" s="3"/>
      <c r="M40" s="3"/>
      <c r="N40" s="141"/>
      <c r="O40" s="140"/>
      <c r="P40" s="14">
        <f>0.08*H18*L41</f>
        <v>0</v>
      </c>
      <c r="Q40" s="14">
        <f>0.1*H18*L41</f>
        <v>0</v>
      </c>
      <c r="R40" s="14">
        <f>0.18*H18*L41</f>
        <v>0</v>
      </c>
      <c r="S40" s="14" t="s">
        <v>10</v>
      </c>
      <c r="T40" s="14"/>
      <c r="U40" s="14"/>
    </row>
    <row r="41" spans="1:21" ht="24.75" customHeight="1">
      <c r="A41" s="154"/>
      <c r="B41" s="153" t="s">
        <v>52</v>
      </c>
      <c r="C41" s="154"/>
      <c r="D41" s="154"/>
      <c r="E41" s="154"/>
      <c r="F41" s="203">
        <v>0</v>
      </c>
      <c r="G41" s="196" t="s">
        <v>15</v>
      </c>
      <c r="H41" s="203">
        <v>0</v>
      </c>
      <c r="I41" s="196" t="s">
        <v>15</v>
      </c>
      <c r="J41" s="154"/>
      <c r="K41" s="154"/>
      <c r="L41" s="3">
        <f>IF(F41=0,H41/3,F41)</f>
        <v>0</v>
      </c>
      <c r="M41" s="3"/>
      <c r="N41" s="141"/>
      <c r="O41" s="140"/>
      <c r="P41" s="14"/>
      <c r="Q41" s="14"/>
      <c r="R41" s="14"/>
      <c r="S41" s="14"/>
      <c r="T41" s="14"/>
      <c r="U41" s="14"/>
    </row>
    <row r="42" spans="1:21" ht="24.75" customHeight="1" thickBot="1">
      <c r="A42" s="196" t="s">
        <v>8</v>
      </c>
      <c r="B42" s="153" t="s">
        <v>53</v>
      </c>
      <c r="C42" s="182"/>
      <c r="D42" s="154"/>
      <c r="E42" s="154"/>
      <c r="F42" s="146">
        <v>0.15</v>
      </c>
      <c r="G42" s="196" t="s">
        <v>16</v>
      </c>
      <c r="H42" s="146">
        <v>0</v>
      </c>
      <c r="I42" s="196" t="s">
        <v>16</v>
      </c>
      <c r="J42" s="154"/>
      <c r="K42" s="154"/>
      <c r="L42" s="3">
        <f>IF(F43=0,H43/3,F43)/10000</f>
        <v>1</v>
      </c>
      <c r="M42" s="3"/>
      <c r="N42" s="141"/>
      <c r="O42" s="140"/>
      <c r="P42" s="14"/>
      <c r="Q42" s="14"/>
      <c r="R42" s="14"/>
      <c r="S42" s="14"/>
      <c r="T42" s="14"/>
      <c r="U42" s="14"/>
    </row>
    <row r="43" spans="1:21" ht="24.75" customHeight="1">
      <c r="A43" s="210" t="s">
        <v>8</v>
      </c>
      <c r="B43" s="183" t="s">
        <v>55</v>
      </c>
      <c r="C43" s="184"/>
      <c r="D43" s="184"/>
      <c r="E43" s="184"/>
      <c r="F43" s="204">
        <v>10000</v>
      </c>
      <c r="G43" s="212" t="s">
        <v>15</v>
      </c>
      <c r="H43" s="204">
        <v>0</v>
      </c>
      <c r="I43" s="214" t="s">
        <v>15</v>
      </c>
      <c r="J43" s="154"/>
      <c r="K43" s="154"/>
      <c r="L43" s="3"/>
      <c r="M43" s="3"/>
      <c r="N43" s="141"/>
      <c r="O43" s="140"/>
      <c r="P43" s="14">
        <f>IF(L44&gt;0.00001,L44,L42)*0.01</f>
        <v>0.01</v>
      </c>
      <c r="Q43" s="14"/>
      <c r="R43" s="14"/>
      <c r="S43" s="14"/>
      <c r="T43" s="14"/>
      <c r="U43" s="14"/>
    </row>
    <row r="44" spans="1:21" ht="15" customHeight="1">
      <c r="A44" s="185"/>
      <c r="B44" s="186"/>
      <c r="C44" s="187" t="s">
        <v>5</v>
      </c>
      <c r="D44" s="188"/>
      <c r="E44" s="188"/>
      <c r="F44" s="189"/>
      <c r="G44" s="188"/>
      <c r="H44" s="189"/>
      <c r="I44" s="190"/>
      <c r="J44" s="154"/>
      <c r="K44" s="154"/>
      <c r="L44" s="3">
        <f>IF(F45=0,H45/3,F45)</f>
        <v>0</v>
      </c>
      <c r="M44" s="3"/>
      <c r="N44" s="141"/>
      <c r="O44" s="140"/>
      <c r="P44" s="14"/>
      <c r="Q44" s="14"/>
      <c r="R44" s="14"/>
      <c r="S44" s="14"/>
      <c r="T44" s="14"/>
      <c r="U44" s="14"/>
    </row>
    <row r="45" spans="1:21" ht="24.75" customHeight="1" thickBot="1">
      <c r="A45" s="211" t="s">
        <v>8</v>
      </c>
      <c r="B45" s="191" t="s">
        <v>56</v>
      </c>
      <c r="C45" s="192"/>
      <c r="D45" s="192"/>
      <c r="E45" s="192"/>
      <c r="F45" s="209"/>
      <c r="G45" s="213" t="s">
        <v>16</v>
      </c>
      <c r="H45" s="209">
        <v>0</v>
      </c>
      <c r="I45" s="215" t="s">
        <v>16</v>
      </c>
      <c r="J45" s="154"/>
      <c r="K45" s="154"/>
      <c r="L45" s="3"/>
      <c r="M45" s="3"/>
      <c r="N45" s="141"/>
      <c r="O45" s="140"/>
      <c r="P45" s="15"/>
      <c r="Q45" s="15"/>
      <c r="R45" s="15"/>
      <c r="S45" s="14"/>
      <c r="T45" s="14"/>
      <c r="U45" s="14"/>
    </row>
    <row r="46" spans="1:21" ht="12.75">
      <c r="A46" s="154"/>
      <c r="B46" s="154"/>
      <c r="C46" s="154"/>
      <c r="D46" s="154"/>
      <c r="E46" s="154"/>
      <c r="F46" s="154"/>
      <c r="G46" s="154"/>
      <c r="H46" s="154"/>
      <c r="I46" s="154"/>
      <c r="J46" s="154"/>
      <c r="K46" s="154"/>
      <c r="L46" s="3"/>
      <c r="M46" s="3"/>
      <c r="N46" s="141"/>
      <c r="O46" s="140"/>
      <c r="P46" s="14">
        <f>L47*0.01*H20*1000000</f>
        <v>133.90047648</v>
      </c>
      <c r="Q46" s="14" t="s">
        <v>19</v>
      </c>
      <c r="R46" s="14"/>
      <c r="S46" s="14"/>
      <c r="T46" s="14"/>
      <c r="U46" s="14"/>
    </row>
    <row r="47" spans="1:21" ht="24.75" customHeight="1">
      <c r="A47" s="154"/>
      <c r="B47" s="154"/>
      <c r="C47" s="154"/>
      <c r="D47" s="154"/>
      <c r="E47" s="154"/>
      <c r="F47" s="154"/>
      <c r="G47" s="154"/>
      <c r="H47" s="154"/>
      <c r="I47" s="154"/>
      <c r="J47" s="154"/>
      <c r="K47" s="154"/>
      <c r="L47" s="3">
        <f>IF(F42=0,H42/3,F42)*0.01</f>
        <v>0.0015</v>
      </c>
      <c r="M47" s="3"/>
      <c r="N47" s="141"/>
      <c r="O47" s="140"/>
      <c r="P47" s="14"/>
      <c r="Q47" s="14"/>
      <c r="R47" s="14"/>
      <c r="S47" s="14"/>
      <c r="T47" s="14"/>
      <c r="U47" s="14"/>
    </row>
    <row r="48" spans="1:21" ht="18">
      <c r="A48" s="227" t="s">
        <v>14</v>
      </c>
      <c r="B48" s="171"/>
      <c r="C48" s="171"/>
      <c r="D48" s="171"/>
      <c r="E48" s="172" t="s">
        <v>13</v>
      </c>
      <c r="F48" s="173"/>
      <c r="G48" s="174"/>
      <c r="H48" s="175"/>
      <c r="I48" s="171"/>
      <c r="J48" s="171"/>
      <c r="K48" s="171"/>
      <c r="L48" s="3"/>
      <c r="M48" s="3"/>
      <c r="N48" s="141"/>
      <c r="O48" s="140"/>
      <c r="P48" s="14">
        <f>0.004*H20*1000000</f>
        <v>35706.793728000004</v>
      </c>
      <c r="Q48" s="14" t="s">
        <v>17</v>
      </c>
      <c r="R48" s="14"/>
      <c r="S48" s="14"/>
      <c r="T48" s="14"/>
      <c r="U48" s="14"/>
    </row>
    <row r="49" spans="1:21" ht="18.75" thickBot="1">
      <c r="A49" s="176"/>
      <c r="B49" s="171"/>
      <c r="C49" s="171"/>
      <c r="D49" s="171"/>
      <c r="E49" s="171"/>
      <c r="F49" s="177">
        <v>40</v>
      </c>
      <c r="G49" s="178">
        <v>70</v>
      </c>
      <c r="H49" s="177">
        <v>90</v>
      </c>
      <c r="I49" s="171"/>
      <c r="J49" s="171"/>
      <c r="K49" s="171"/>
      <c r="L49" s="3"/>
      <c r="M49" s="3"/>
      <c r="N49" s="141"/>
      <c r="O49" s="140"/>
      <c r="P49" s="14">
        <f>P48-P40</f>
        <v>35706.793728000004</v>
      </c>
      <c r="Q49" s="14">
        <f>P48-Q40</f>
        <v>35706.793728000004</v>
      </c>
      <c r="R49" s="14">
        <f>P48-R40</f>
        <v>35706.793728000004</v>
      </c>
      <c r="S49" s="14" t="s">
        <v>18</v>
      </c>
      <c r="T49" s="14"/>
      <c r="U49" s="14"/>
    </row>
    <row r="50" spans="1:21" ht="24.75" customHeight="1">
      <c r="A50" s="171"/>
      <c r="B50" s="179" t="s">
        <v>30</v>
      </c>
      <c r="C50" s="171"/>
      <c r="D50" s="171"/>
      <c r="E50" s="171"/>
      <c r="F50" s="222">
        <f>IF(R54&gt;0,R54,"XXX")</f>
        <v>2.625499538823529</v>
      </c>
      <c r="G50" s="222">
        <f>IF(R58&gt;0,R58,"XXX")</f>
        <v>2.625499538823529</v>
      </c>
      <c r="H50" s="222">
        <f>IF(R62&gt;0,R62,"XXX")</f>
        <v>2.625499538823529</v>
      </c>
      <c r="I50" s="216" t="s">
        <v>31</v>
      </c>
      <c r="J50" s="171"/>
      <c r="K50" s="171"/>
      <c r="L50" s="3"/>
      <c r="M50" s="3"/>
      <c r="N50" s="141"/>
      <c r="O50" s="140"/>
      <c r="P50" s="14"/>
      <c r="Q50" s="14"/>
      <c r="R50" s="14"/>
      <c r="S50" s="14"/>
      <c r="T50" s="14"/>
      <c r="U50" s="14"/>
    </row>
    <row r="51" spans="1:21" ht="24.75" customHeight="1">
      <c r="A51" s="171"/>
      <c r="B51" s="171"/>
      <c r="C51" s="171"/>
      <c r="D51" s="171"/>
      <c r="E51" s="171"/>
      <c r="F51" s="222">
        <f>IF(R55&gt;0,R55,"XXX")</f>
        <v>7.50142725378151</v>
      </c>
      <c r="G51" s="222">
        <f>IF(R59&gt;0,R59,"XXX")</f>
        <v>7.50142725378151</v>
      </c>
      <c r="H51" s="222">
        <f>IF(R63&gt;0,R63,"XXX")</f>
        <v>7.50142725378151</v>
      </c>
      <c r="I51" s="216" t="s">
        <v>88</v>
      </c>
      <c r="J51" s="171"/>
      <c r="K51" s="171"/>
      <c r="L51" s="3"/>
      <c r="M51" s="3"/>
      <c r="N51" s="141"/>
      <c r="O51" s="140"/>
      <c r="P51" s="14" t="s">
        <v>26</v>
      </c>
      <c r="Q51" s="14">
        <f>P43</f>
        <v>0.01</v>
      </c>
      <c r="R51" s="14">
        <f>P49/1000000</f>
        <v>0.035706793728</v>
      </c>
      <c r="S51" s="14"/>
      <c r="T51" s="14"/>
      <c r="U51" s="14"/>
    </row>
    <row r="52" spans="1:21" ht="24.75" customHeight="1">
      <c r="A52" s="171"/>
      <c r="B52" s="171"/>
      <c r="C52" s="171"/>
      <c r="D52" s="171"/>
      <c r="E52" s="171"/>
      <c r="F52" s="223">
        <f aca="true" t="shared" si="0" ref="F52:H53">IF(F50="XXX","XXX",F50/0.4535924)</f>
        <v>5.788235294117646</v>
      </c>
      <c r="G52" s="223">
        <f t="shared" si="0"/>
        <v>5.788235294117646</v>
      </c>
      <c r="H52" s="223">
        <f t="shared" si="0"/>
        <v>5.788235294117646</v>
      </c>
      <c r="I52" s="216" t="s">
        <v>32</v>
      </c>
      <c r="J52" s="171"/>
      <c r="K52" s="171"/>
      <c r="L52" s="3"/>
      <c r="M52" s="3"/>
      <c r="N52" s="141"/>
      <c r="O52" s="140"/>
      <c r="P52" s="14"/>
      <c r="Q52" s="14">
        <f>-1*L47</f>
        <v>-0.0015</v>
      </c>
      <c r="R52" s="14">
        <f>-1*L47*H20</f>
        <v>-0.013390047648000001</v>
      </c>
      <c r="S52" s="14"/>
      <c r="T52" s="14"/>
      <c r="U52" s="14"/>
    </row>
    <row r="53" spans="1:21" ht="24.75" customHeight="1">
      <c r="A53" s="171"/>
      <c r="B53" s="171"/>
      <c r="C53" s="171"/>
      <c r="D53" s="171"/>
      <c r="E53" s="171"/>
      <c r="F53" s="223">
        <f t="shared" si="0"/>
        <v>16.537815126050415</v>
      </c>
      <c r="G53" s="223">
        <f t="shared" si="0"/>
        <v>16.537815126050415</v>
      </c>
      <c r="H53" s="223">
        <f t="shared" si="0"/>
        <v>16.537815126050415</v>
      </c>
      <c r="I53" s="216" t="s">
        <v>89</v>
      </c>
      <c r="J53" s="171"/>
      <c r="K53" s="171"/>
      <c r="L53" s="3"/>
      <c r="M53" s="3"/>
      <c r="N53" s="141"/>
      <c r="O53" s="140"/>
      <c r="P53" s="14"/>
      <c r="Q53" s="14">
        <f>Q51+Q52</f>
        <v>0.0085</v>
      </c>
      <c r="R53" s="14">
        <f>R51+R52</f>
        <v>0.022316746079999998</v>
      </c>
      <c r="S53" s="14"/>
      <c r="T53" s="14"/>
      <c r="U53" s="14"/>
    </row>
    <row r="54" spans="1:21" ht="24.75" customHeight="1">
      <c r="A54" s="171"/>
      <c r="B54" s="224" t="s">
        <v>36</v>
      </c>
      <c r="C54" s="171"/>
      <c r="D54" s="221"/>
      <c r="E54" s="171"/>
      <c r="F54" s="171"/>
      <c r="G54" s="171"/>
      <c r="H54" s="171"/>
      <c r="I54" s="171"/>
      <c r="J54" s="171"/>
      <c r="K54" s="171"/>
      <c r="L54" s="3"/>
      <c r="M54" s="3"/>
      <c r="N54" s="141"/>
      <c r="O54" s="140"/>
      <c r="P54" s="14"/>
      <c r="Q54" s="14" t="s">
        <v>27</v>
      </c>
      <c r="R54" s="14">
        <f>R53/Q53</f>
        <v>2.625499538823529</v>
      </c>
      <c r="S54" s="14" t="s">
        <v>28</v>
      </c>
      <c r="T54" s="14"/>
      <c r="U54" s="14"/>
    </row>
    <row r="55" spans="1:21" ht="24.75" customHeight="1">
      <c r="A55" s="171"/>
      <c r="B55" s="171"/>
      <c r="C55" s="171"/>
      <c r="D55" s="171"/>
      <c r="E55" s="171"/>
      <c r="F55" s="171"/>
      <c r="G55" s="171"/>
      <c r="H55" s="171"/>
      <c r="I55" s="171"/>
      <c r="J55" s="171"/>
      <c r="K55" s="171"/>
      <c r="L55" s="3"/>
      <c r="M55" s="3"/>
      <c r="N55" s="141"/>
      <c r="O55" s="140"/>
      <c r="P55" s="14"/>
      <c r="Q55" s="14"/>
      <c r="R55" s="14">
        <f>R54/((100-F38)*0.01)</f>
        <v>7.50142725378151</v>
      </c>
      <c r="S55" s="14" t="s">
        <v>29</v>
      </c>
      <c r="T55" s="14"/>
      <c r="U55" s="14"/>
    </row>
    <row r="56" spans="1:21" ht="24.75" customHeight="1">
      <c r="A56" s="171"/>
      <c r="B56" s="171"/>
      <c r="C56" s="171"/>
      <c r="D56" s="171"/>
      <c r="E56" s="171"/>
      <c r="F56" s="171"/>
      <c r="G56" s="171"/>
      <c r="H56" s="171"/>
      <c r="I56" s="171"/>
      <c r="J56" s="171"/>
      <c r="K56" s="171"/>
      <c r="L56" s="3"/>
      <c r="M56" s="3"/>
      <c r="N56" s="141"/>
      <c r="O56" s="140"/>
      <c r="P56" s="14"/>
      <c r="Q56" s="14"/>
      <c r="R56" s="14">
        <f>Q49/1000000</f>
        <v>0.035706793728</v>
      </c>
      <c r="S56" s="14"/>
      <c r="T56" s="14"/>
      <c r="U56" s="14"/>
    </row>
    <row r="57" spans="1:21" ht="12.75">
      <c r="A57" s="171"/>
      <c r="B57" s="171"/>
      <c r="C57" s="171"/>
      <c r="D57" s="171"/>
      <c r="E57" s="171"/>
      <c r="F57" s="171"/>
      <c r="G57" s="171"/>
      <c r="H57" s="171"/>
      <c r="I57" s="171"/>
      <c r="J57" s="171"/>
      <c r="K57" s="171"/>
      <c r="L57" s="3"/>
      <c r="M57" s="3"/>
      <c r="N57" s="141"/>
      <c r="O57" s="140"/>
      <c r="P57" s="14"/>
      <c r="Q57" s="14"/>
      <c r="R57" s="14">
        <f>R56+R52</f>
        <v>0.022316746079999998</v>
      </c>
      <c r="S57" s="14"/>
      <c r="T57" s="14"/>
      <c r="U57" s="14"/>
    </row>
    <row r="58" spans="1:21" ht="12.75">
      <c r="A58" s="171"/>
      <c r="B58" s="171"/>
      <c r="C58" s="171"/>
      <c r="D58" s="171"/>
      <c r="E58" s="171"/>
      <c r="F58" s="171"/>
      <c r="G58" s="171"/>
      <c r="H58" s="171"/>
      <c r="I58" s="171"/>
      <c r="J58" s="171"/>
      <c r="K58" s="171"/>
      <c r="L58" s="3"/>
      <c r="M58" s="3"/>
      <c r="N58" s="141"/>
      <c r="O58" s="140"/>
      <c r="P58" s="14"/>
      <c r="Q58" s="14" t="s">
        <v>27</v>
      </c>
      <c r="R58" s="14">
        <f>R57/Q53</f>
        <v>2.625499538823529</v>
      </c>
      <c r="S58" s="14" t="s">
        <v>28</v>
      </c>
      <c r="T58" s="14"/>
      <c r="U58" s="14"/>
    </row>
    <row r="59" spans="1:21" ht="12.75">
      <c r="A59" s="171"/>
      <c r="B59" s="171"/>
      <c r="C59" s="171"/>
      <c r="D59" s="171"/>
      <c r="E59" s="171"/>
      <c r="F59" s="171"/>
      <c r="G59" s="171"/>
      <c r="H59" s="171"/>
      <c r="I59" s="171"/>
      <c r="J59" s="171"/>
      <c r="K59" s="171"/>
      <c r="L59" s="3"/>
      <c r="M59" s="3"/>
      <c r="N59" s="141"/>
      <c r="O59" s="140"/>
      <c r="P59" s="14"/>
      <c r="Q59" s="14"/>
      <c r="R59" s="14">
        <f>R58/((100-F38)*0.01)</f>
        <v>7.50142725378151</v>
      </c>
      <c r="S59" s="14" t="s">
        <v>29</v>
      </c>
      <c r="T59" s="14"/>
      <c r="U59" s="14"/>
    </row>
    <row r="60" spans="1:21" ht="12.75">
      <c r="A60" s="171"/>
      <c r="B60" s="171"/>
      <c r="C60" s="171"/>
      <c r="D60" s="171"/>
      <c r="E60" s="171"/>
      <c r="F60" s="171"/>
      <c r="G60" s="171"/>
      <c r="H60" s="171"/>
      <c r="I60" s="171"/>
      <c r="J60" s="171"/>
      <c r="K60" s="171" t="s">
        <v>34</v>
      </c>
      <c r="L60" s="3"/>
      <c r="M60" s="3"/>
      <c r="N60" s="3"/>
      <c r="O60" s="3"/>
      <c r="P60" s="14"/>
      <c r="Q60" s="14"/>
      <c r="R60" s="14">
        <f>R49/1000000</f>
        <v>0.035706793728</v>
      </c>
      <c r="S60" s="14"/>
      <c r="T60" s="14"/>
      <c r="U60" s="14"/>
    </row>
    <row r="61" spans="1:21" ht="12.75">
      <c r="A61" s="3"/>
      <c r="B61" s="3"/>
      <c r="C61" s="3"/>
      <c r="D61" s="3"/>
      <c r="E61" s="3"/>
      <c r="F61" s="3"/>
      <c r="G61" s="3"/>
      <c r="H61" s="3"/>
      <c r="I61" s="3"/>
      <c r="J61" s="3"/>
      <c r="K61" s="3"/>
      <c r="L61" s="3"/>
      <c r="M61" s="3"/>
      <c r="N61" s="3"/>
      <c r="O61" s="3"/>
      <c r="P61" s="14"/>
      <c r="Q61" s="14"/>
      <c r="R61" s="14">
        <f>R60+R52</f>
        <v>0.022316746079999998</v>
      </c>
      <c r="S61" s="14"/>
      <c r="T61" s="14"/>
      <c r="U61" s="14"/>
    </row>
    <row r="62" spans="1:21" ht="12.75">
      <c r="A62" s="3"/>
      <c r="B62" s="3"/>
      <c r="C62" s="3"/>
      <c r="D62" s="3"/>
      <c r="E62" s="3"/>
      <c r="F62" s="3"/>
      <c r="G62" s="3"/>
      <c r="H62" s="3"/>
      <c r="I62" s="3"/>
      <c r="J62" s="3"/>
      <c r="K62" s="3"/>
      <c r="L62" s="3"/>
      <c r="M62" s="3"/>
      <c r="N62" s="3"/>
      <c r="O62" s="3"/>
      <c r="P62" s="14"/>
      <c r="Q62" s="14" t="s">
        <v>27</v>
      </c>
      <c r="R62" s="14">
        <f>R61/Q53</f>
        <v>2.625499538823529</v>
      </c>
      <c r="S62" s="14" t="s">
        <v>28</v>
      </c>
      <c r="T62" s="14"/>
      <c r="U62" s="14"/>
    </row>
    <row r="63" spans="1:21" ht="12.75">
      <c r="A63" s="3"/>
      <c r="B63" s="3"/>
      <c r="C63" s="3"/>
      <c r="D63" s="3"/>
      <c r="E63" s="3"/>
      <c r="F63" s="3"/>
      <c r="G63" s="3"/>
      <c r="H63" s="3"/>
      <c r="I63" s="3"/>
      <c r="J63" s="3"/>
      <c r="K63" s="3"/>
      <c r="L63" s="3"/>
      <c r="M63" s="3"/>
      <c r="N63" s="3"/>
      <c r="O63" s="3"/>
      <c r="P63" s="14"/>
      <c r="Q63" s="14"/>
      <c r="R63" s="14">
        <f>R62/((100-F38)*0.01)</f>
        <v>7.50142725378151</v>
      </c>
      <c r="S63" s="14" t="s">
        <v>29</v>
      </c>
      <c r="T63" s="14"/>
      <c r="U63" s="14"/>
    </row>
    <row r="64" spans="1:21" ht="12.75">
      <c r="A64" s="3"/>
      <c r="B64" s="3"/>
      <c r="C64" s="3"/>
      <c r="D64" s="3"/>
      <c r="E64" s="3"/>
      <c r="F64" s="3"/>
      <c r="G64" s="3"/>
      <c r="H64" s="3"/>
      <c r="I64" s="3"/>
      <c r="J64" s="3"/>
      <c r="K64" s="3"/>
      <c r="L64" s="3"/>
      <c r="M64" s="3"/>
      <c r="N64" s="3"/>
      <c r="O64" s="3"/>
      <c r="P64" s="14"/>
      <c r="Q64" s="14"/>
      <c r="R64" s="14"/>
      <c r="S64" s="14"/>
      <c r="T64" s="14"/>
      <c r="U64" s="14"/>
    </row>
    <row r="65" spans="1:21" ht="12.75">
      <c r="A65" s="3"/>
      <c r="B65" s="3"/>
      <c r="C65" s="3"/>
      <c r="D65" s="3"/>
      <c r="E65" s="3"/>
      <c r="F65" s="3"/>
      <c r="G65" s="3"/>
      <c r="H65" s="3"/>
      <c r="I65" s="3"/>
      <c r="J65" s="3"/>
      <c r="K65" s="3"/>
      <c r="L65" s="3"/>
      <c r="M65" s="3"/>
      <c r="N65" s="3"/>
      <c r="O65" s="3"/>
      <c r="P65" s="14"/>
      <c r="Q65" s="14"/>
      <c r="R65" s="14"/>
      <c r="S65" s="14"/>
      <c r="T65" s="14"/>
      <c r="U65" s="14"/>
    </row>
    <row r="66" spans="1:21" ht="12.75">
      <c r="A66" s="3"/>
      <c r="B66" s="3"/>
      <c r="C66" s="3"/>
      <c r="D66" s="3"/>
      <c r="E66" s="3"/>
      <c r="F66" s="3"/>
      <c r="G66" s="3"/>
      <c r="H66" s="3"/>
      <c r="I66" s="3"/>
      <c r="J66" s="3"/>
      <c r="K66" s="3"/>
      <c r="L66" s="3"/>
      <c r="M66" s="3"/>
      <c r="N66" s="3"/>
      <c r="O66" s="3"/>
      <c r="P66" s="14"/>
      <c r="Q66" s="14"/>
      <c r="R66" s="14"/>
      <c r="S66" s="14"/>
      <c r="T66" s="14"/>
      <c r="U66" s="14"/>
    </row>
    <row r="67" spans="1:21" ht="12.75">
      <c r="A67" s="3"/>
      <c r="B67" s="3"/>
      <c r="C67" s="3"/>
      <c r="D67" s="3"/>
      <c r="E67" s="3"/>
      <c r="F67" s="3"/>
      <c r="G67" s="3"/>
      <c r="H67" s="3"/>
      <c r="I67" s="3"/>
      <c r="J67" s="3"/>
      <c r="K67" s="3"/>
      <c r="L67" s="3"/>
      <c r="M67" s="3"/>
      <c r="N67" s="3"/>
      <c r="O67" s="3"/>
      <c r="P67" s="14"/>
      <c r="Q67" s="14"/>
      <c r="R67" s="14"/>
      <c r="S67" s="14"/>
      <c r="T67" s="14"/>
      <c r="U67" s="14"/>
    </row>
    <row r="73" ht="12.75">
      <c r="J73" s="125" t="s">
        <v>83</v>
      </c>
    </row>
    <row r="75" ht="23.25">
      <c r="A75" s="28" t="s">
        <v>37</v>
      </c>
    </row>
    <row r="77" spans="1:11" ht="16.5" thickBot="1">
      <c r="A77" s="21"/>
      <c r="B77" s="21"/>
      <c r="C77" s="21"/>
      <c r="D77" s="21"/>
      <c r="E77" s="21"/>
      <c r="F77" s="21"/>
      <c r="G77" s="21"/>
      <c r="H77" s="29" t="s">
        <v>4</v>
      </c>
      <c r="I77" s="137">
        <f>I9</f>
        <v>0</v>
      </c>
      <c r="J77" s="137"/>
      <c r="K77" s="23"/>
    </row>
    <row r="78" spans="1:11" ht="15.75">
      <c r="A78" s="24" t="s">
        <v>21</v>
      </c>
      <c r="B78" s="23"/>
      <c r="C78" s="23"/>
      <c r="D78" s="23"/>
      <c r="E78" s="23"/>
      <c r="F78" s="23"/>
      <c r="G78" s="23"/>
      <c r="H78" s="29"/>
      <c r="I78" s="138"/>
      <c r="J78" s="138"/>
      <c r="K78" s="23"/>
    </row>
    <row r="79" spans="1:11" ht="15.75">
      <c r="A79" s="22"/>
      <c r="B79" s="129">
        <f>B11</f>
        <v>0</v>
      </c>
      <c r="C79" s="129"/>
      <c r="D79" s="129"/>
      <c r="E79" s="23"/>
      <c r="F79" s="23"/>
      <c r="G79" s="22" t="s">
        <v>0</v>
      </c>
      <c r="H79" s="130">
        <f>H11</f>
        <v>0</v>
      </c>
      <c r="I79" s="130"/>
      <c r="J79" s="130"/>
      <c r="K79" s="23"/>
    </row>
    <row r="80" spans="1:11" ht="15.75">
      <c r="A80" s="23"/>
      <c r="B80" s="23"/>
      <c r="C80" s="23"/>
      <c r="D80" s="23"/>
      <c r="E80" s="23"/>
      <c r="F80" s="23"/>
      <c r="G80" s="22" t="s">
        <v>1</v>
      </c>
      <c r="H80" s="130">
        <f>H12</f>
        <v>0</v>
      </c>
      <c r="I80" s="130"/>
      <c r="J80" s="130"/>
      <c r="K80" s="23"/>
    </row>
    <row r="81" spans="1:11" ht="15.75">
      <c r="A81" s="23"/>
      <c r="B81" s="23"/>
      <c r="C81" s="23"/>
      <c r="D81" s="23"/>
      <c r="E81" s="23"/>
      <c r="F81" s="23"/>
      <c r="G81" s="22"/>
      <c r="H81" s="130">
        <f>H13</f>
        <v>0</v>
      </c>
      <c r="I81" s="130"/>
      <c r="J81" s="130"/>
      <c r="K81" s="23"/>
    </row>
    <row r="82" spans="1:11" ht="15.75">
      <c r="A82" s="23"/>
      <c r="B82" s="23"/>
      <c r="C82" s="23"/>
      <c r="D82" s="23"/>
      <c r="E82" s="23"/>
      <c r="F82" s="23"/>
      <c r="G82" s="22"/>
      <c r="H82" s="130">
        <f>H14</f>
        <v>0</v>
      </c>
      <c r="I82" s="130"/>
      <c r="J82" s="130"/>
      <c r="K82" s="23"/>
    </row>
    <row r="83" spans="1:11" ht="15.75">
      <c r="A83" s="23"/>
      <c r="B83" s="23"/>
      <c r="C83" s="23"/>
      <c r="D83" s="23"/>
      <c r="E83" s="23"/>
      <c r="F83" s="23"/>
      <c r="G83" s="22" t="s">
        <v>2</v>
      </c>
      <c r="H83" s="130">
        <f>H15</f>
        <v>0</v>
      </c>
      <c r="I83" s="130"/>
      <c r="J83" s="130"/>
      <c r="K83" s="23"/>
    </row>
    <row r="84" spans="1:11" ht="18.75" thickBot="1">
      <c r="A84" s="32" t="s">
        <v>3</v>
      </c>
      <c r="B84" s="33"/>
      <c r="C84" s="33"/>
      <c r="D84" s="33"/>
      <c r="E84" s="33"/>
      <c r="F84" s="33"/>
      <c r="G84" s="33"/>
      <c r="H84" s="33"/>
      <c r="I84" s="33"/>
      <c r="J84" s="33"/>
      <c r="K84" s="34"/>
    </row>
    <row r="85" spans="1:11" ht="18.75">
      <c r="A85" s="30" t="str">
        <f>IF(F17=1,"-  TMR Sample Submitted","-  Feed Ingredient Sample Submitted")</f>
        <v>-  TMR Sample Submitted</v>
      </c>
      <c r="B85" s="31"/>
      <c r="C85" s="31"/>
      <c r="D85" s="31"/>
      <c r="E85" s="31"/>
      <c r="F85" s="31"/>
      <c r="G85" s="31"/>
      <c r="H85" s="31"/>
      <c r="I85" s="31"/>
      <c r="J85" s="31"/>
      <c r="K85" s="41"/>
    </row>
    <row r="86" spans="1:11" ht="15.75" customHeight="1">
      <c r="A86" s="23"/>
      <c r="B86" s="24" t="s">
        <v>7</v>
      </c>
      <c r="C86" s="23"/>
      <c r="D86" s="23"/>
      <c r="E86" s="23"/>
      <c r="F86" s="40">
        <f>F18</f>
        <v>700</v>
      </c>
      <c r="G86" s="25" t="s">
        <v>22</v>
      </c>
      <c r="H86" s="26">
        <f>H18</f>
        <v>317.51468</v>
      </c>
      <c r="I86" s="25" t="s">
        <v>23</v>
      </c>
      <c r="J86" s="27"/>
      <c r="K86" s="27"/>
    </row>
    <row r="87" spans="1:11" ht="15.75" customHeight="1">
      <c r="A87" s="36" t="s">
        <v>12</v>
      </c>
      <c r="B87" s="24" t="s">
        <v>20</v>
      </c>
      <c r="C87" s="23"/>
      <c r="D87" s="23"/>
      <c r="E87" s="23"/>
      <c r="F87" s="40">
        <f>F19</f>
        <v>41</v>
      </c>
      <c r="G87" s="25" t="s">
        <v>22</v>
      </c>
      <c r="H87" s="26">
        <f>F87*0.4535924</f>
        <v>18.5972884</v>
      </c>
      <c r="I87" s="25" t="s">
        <v>23</v>
      </c>
      <c r="J87" s="27"/>
      <c r="K87" s="27"/>
    </row>
    <row r="88" spans="1:11" ht="15.75" customHeight="1">
      <c r="A88" s="27"/>
      <c r="B88" s="24" t="s">
        <v>38</v>
      </c>
      <c r="C88" s="23"/>
      <c r="D88" s="23"/>
      <c r="E88" s="23"/>
      <c r="F88" s="40">
        <f>F20</f>
        <v>52</v>
      </c>
      <c r="G88" s="25" t="s">
        <v>16</v>
      </c>
      <c r="H88" s="26">
        <f>(100-F88)*0.01*H87</f>
        <v>8.926698432</v>
      </c>
      <c r="I88" s="25" t="s">
        <v>24</v>
      </c>
      <c r="J88" s="27"/>
      <c r="K88" s="27"/>
    </row>
    <row r="89" spans="1:11" ht="15.75">
      <c r="A89" s="27"/>
      <c r="B89" s="37">
        <f>IF(F17=1,"","Feed ingredient sample moisture:")</f>
      </c>
      <c r="F89" s="39">
        <f>IF($F$17=1,"",F38)</f>
      </c>
      <c r="G89" s="38">
        <f>IF($F$17=1,"",G38)</f>
      </c>
      <c r="H89" s="26">
        <f>J20</f>
        <v>19.6387365504</v>
      </c>
      <c r="I89" s="25" t="s">
        <v>90</v>
      </c>
      <c r="J89" s="23"/>
      <c r="K89" s="23"/>
    </row>
    <row r="91" ht="15.75">
      <c r="E91" s="37" t="s">
        <v>9</v>
      </c>
    </row>
    <row r="92" spans="1:10" ht="16.5" thickBot="1">
      <c r="A92" s="35"/>
      <c r="B92" s="35"/>
      <c r="C92" s="35"/>
      <c r="D92" s="35"/>
      <c r="E92" s="35"/>
      <c r="F92" s="53" t="s">
        <v>39</v>
      </c>
      <c r="G92" s="42" t="s">
        <v>5</v>
      </c>
      <c r="H92" s="53" t="s">
        <v>6</v>
      </c>
      <c r="I92" s="35"/>
      <c r="J92" s="35"/>
    </row>
    <row r="93" spans="1:10" ht="15.75">
      <c r="A93" s="35"/>
      <c r="B93" s="37" t="s">
        <v>40</v>
      </c>
      <c r="C93" s="35"/>
      <c r="D93" s="35"/>
      <c r="F93" s="35"/>
      <c r="G93" s="35"/>
      <c r="H93" s="35"/>
      <c r="I93" s="35"/>
      <c r="J93" s="35"/>
    </row>
    <row r="94" spans="1:10" ht="15.75">
      <c r="A94" s="35"/>
      <c r="B94" s="37" t="str">
        <f>IF(AND(F94+H94=0),"","  -  -  -  water source:")</f>
        <v>  -  -  -  water source:</v>
      </c>
      <c r="C94" s="35"/>
      <c r="D94" s="35"/>
      <c r="E94" s="35"/>
      <c r="F94" s="39">
        <f>IF(F17=1,F25,F41)</f>
        <v>0</v>
      </c>
      <c r="G94" s="38" t="str">
        <f>IF(AND(F94+H94=0),"","ppm")</f>
        <v>ppm</v>
      </c>
      <c r="H94" s="39">
        <f>IF(F17=1,H25,H41)</f>
        <v>500</v>
      </c>
      <c r="I94" s="38" t="str">
        <f>IF(AND(F94+H94=0),"","ppm")</f>
        <v>ppm</v>
      </c>
      <c r="J94" s="35"/>
    </row>
    <row r="95" spans="1:10" ht="15.75">
      <c r="A95" s="36">
        <f>IF(F17=1,"","DM Basis")</f>
      </c>
      <c r="B95" s="37">
        <f>IF(F17=1,"","  -  -  - existing ration:")</f>
      </c>
      <c r="C95" s="35"/>
      <c r="D95" s="35"/>
      <c r="E95" s="35"/>
      <c r="F95" s="39">
        <f>IF(F17=1,"",F42)</f>
      </c>
      <c r="G95" s="38">
        <f>IF(F17=1,"","%")</f>
      </c>
      <c r="H95" s="39">
        <f>IF(F17=1,"",H42)</f>
      </c>
      <c r="I95" s="38">
        <f>IF(F17=1,"","%")</f>
      </c>
      <c r="J95" s="35"/>
    </row>
    <row r="96" spans="1:10" ht="15.75" thickBot="1">
      <c r="A96" s="35"/>
      <c r="B96" s="35"/>
      <c r="C96" s="35"/>
      <c r="D96" s="35"/>
      <c r="E96" s="35"/>
      <c r="F96" s="35"/>
      <c r="G96" s="35"/>
      <c r="H96" s="35"/>
      <c r="I96" s="35"/>
      <c r="J96" s="35"/>
    </row>
    <row r="97" spans="1:10" ht="15.75">
      <c r="A97" s="43" t="s">
        <v>47</v>
      </c>
      <c r="B97" s="52"/>
      <c r="C97" s="52" t="str">
        <f>IF(F17=1,"  -  -  - TMR sample:","  - Feed ingredient sample:")</f>
        <v>  -  -  - TMR sample:</v>
      </c>
      <c r="D97" s="44"/>
      <c r="E97" s="44"/>
      <c r="F97" s="55">
        <f>IF(F17=1,F26,F43)</f>
        <v>0</v>
      </c>
      <c r="G97" s="57" t="s">
        <v>15</v>
      </c>
      <c r="H97" s="55">
        <f>IF(F17=1,H26,H43)</f>
        <v>4420</v>
      </c>
      <c r="I97" s="57" t="s">
        <v>15</v>
      </c>
      <c r="J97" s="45"/>
    </row>
    <row r="98" spans="1:10" ht="15">
      <c r="A98" s="46"/>
      <c r="B98" s="47"/>
      <c r="C98" s="54" t="s">
        <v>5</v>
      </c>
      <c r="D98" s="47"/>
      <c r="E98" s="47"/>
      <c r="F98" s="47"/>
      <c r="G98" s="47"/>
      <c r="H98" s="47"/>
      <c r="I98" s="47"/>
      <c r="J98" s="48"/>
    </row>
    <row r="99" spans="1:10" ht="16.5" thickBot="1">
      <c r="A99" s="49" t="s">
        <v>46</v>
      </c>
      <c r="B99" s="53"/>
      <c r="C99" s="53" t="str">
        <f>IF(F17=1,"  -  -  - TMR sample:"," - Feed ingredient sample:")</f>
        <v>  -  -  - TMR sample:</v>
      </c>
      <c r="D99" s="50"/>
      <c r="E99" s="50"/>
      <c r="F99" s="56">
        <f>IF(F17=1,F28,F45)</f>
        <v>0</v>
      </c>
      <c r="G99" s="58" t="str">
        <f>IF(D21=1,"","%")</f>
        <v>%</v>
      </c>
      <c r="H99" s="56">
        <f>IF(F17=1,H28,H45)</f>
        <v>0</v>
      </c>
      <c r="I99" s="58" t="str">
        <f>IF(F21=1,"","%")</f>
        <v>%</v>
      </c>
      <c r="J99" s="51"/>
    </row>
    <row r="100" spans="1:10" ht="15">
      <c r="A100" s="35"/>
      <c r="B100" s="35"/>
      <c r="C100" s="35"/>
      <c r="D100" s="35"/>
      <c r="E100" s="35"/>
      <c r="F100" s="35"/>
      <c r="G100" s="35"/>
      <c r="H100" s="35"/>
      <c r="I100" s="35"/>
      <c r="J100" s="35"/>
    </row>
    <row r="101" spans="1:10" ht="18">
      <c r="A101" s="59" t="s">
        <v>14</v>
      </c>
      <c r="B101" s="35"/>
      <c r="C101" s="35"/>
      <c r="D101" s="35"/>
      <c r="E101" s="35"/>
      <c r="F101" s="35"/>
      <c r="G101" s="35"/>
      <c r="H101" s="35"/>
      <c r="I101" s="35"/>
      <c r="J101" s="35"/>
    </row>
    <row r="102" spans="2:10" ht="15.75">
      <c r="B102" s="35"/>
      <c r="C102" s="35"/>
      <c r="D102" s="35"/>
      <c r="E102" s="37" t="str">
        <f>IF(F17=1,IF(L25=0,"","Air Temperture - degrees F"),IF(L41=0,"","Air Temperture - degrees F"))</f>
        <v>Air Temperture - degrees F</v>
      </c>
      <c r="F102" s="35"/>
      <c r="G102" s="35"/>
      <c r="H102" s="35"/>
      <c r="I102" s="35"/>
      <c r="J102" s="35"/>
    </row>
    <row r="103" spans="1:10" ht="16.5" thickBot="1">
      <c r="A103" s="35"/>
      <c r="B103" s="35"/>
      <c r="C103" s="35"/>
      <c r="D103" s="35"/>
      <c r="E103" s="35"/>
      <c r="F103" s="53">
        <f>IF(F17=1,IF(L25=0,"",40),IF(L41=0,"",40))</f>
        <v>40</v>
      </c>
      <c r="G103" s="53">
        <f>IF(F17=1,IF(L25=0,"",70),IF(L41=0,"",70))</f>
        <v>70</v>
      </c>
      <c r="H103" s="53">
        <f>IF(F17=1,IF(L25=0,"",90),IF(L41=0,"",90))</f>
        <v>90</v>
      </c>
      <c r="I103" s="35"/>
      <c r="J103" s="35"/>
    </row>
    <row r="104" spans="1:10" ht="15" customHeight="1">
      <c r="A104" s="35"/>
      <c r="B104" s="37" t="str">
        <f>IF($F$17=1,B32,"Maximum feeding rate of feedstuff")</f>
        <v>Sulfur as a percent of total diet</v>
      </c>
      <c r="C104" s="35"/>
      <c r="D104" s="35"/>
      <c r="E104" s="35"/>
      <c r="F104" s="63">
        <f>IF($F$17=1,IF(L25=0,"",F32),IF(L41=0,"",F50))</f>
        <v>0.19475880758807587</v>
      </c>
      <c r="G104" s="63">
        <f>IF($F$17=1,G32,G50)</f>
        <v>0.2066151761517615</v>
      </c>
      <c r="H104" s="63">
        <f>IF($F$17=1,IF(L25=0,"",H32),IF(L41=0,"",H50))</f>
        <v>0.25404065040650403</v>
      </c>
      <c r="I104" s="38" t="str">
        <f>IF(F17=1,"%","kg DM basis")</f>
        <v>%</v>
      </c>
      <c r="J104" s="35"/>
    </row>
    <row r="105" spans="1:10" ht="15" customHeight="1">
      <c r="A105" s="35"/>
      <c r="B105" s="37" t="str">
        <f>IF($F$17=1,B33,"")</f>
        <v>Daily sulfur intake  (grams)</v>
      </c>
      <c r="C105" s="35"/>
      <c r="D105" s="35"/>
      <c r="E105" s="35"/>
      <c r="F105" s="60">
        <f>IF($F$17=1,IF(L25=0,"",F33),IF(L41=0,"",F51))</f>
        <v>17.385531423146666</v>
      </c>
      <c r="G105" s="60">
        <f>IF($F$17=1,G33,G51)</f>
        <v>18.443913689813332</v>
      </c>
      <c r="H105" s="60">
        <f>IF($F$17=1,IF(L25=0,"",H33),IF(L41=0,"",H51))</f>
        <v>22.677442756479998</v>
      </c>
      <c r="I105" s="38" t="str">
        <f>IF(F17=1,"grams","kg As-is basis")</f>
        <v>grams</v>
      </c>
      <c r="J105" s="35"/>
    </row>
    <row r="106" spans="1:10" ht="15" customHeight="1">
      <c r="A106" s="35"/>
      <c r="B106" s="37" t="str">
        <f>IF(AND($F$17=1,L25&gt;0),B34,"")</f>
        <v>Percent coming from water fraction</v>
      </c>
      <c r="C106" s="35"/>
      <c r="D106" s="35"/>
      <c r="E106" s="35"/>
      <c r="F106" s="60">
        <f>IF($F$17=1,IF(L25=0,"",F34),IF(L41=0,"",F52))</f>
        <v>24.35087524003006</v>
      </c>
      <c r="G106" s="60">
        <f>IF($F$17=1,IF(L25=0,"",G34),G52)</f>
        <v>30.438594050037572</v>
      </c>
      <c r="H106" s="60">
        <f>IF($F$17=1,IF(L25=0,"",H34),IF(L41=0,"",H52))</f>
        <v>54.78946929006763</v>
      </c>
      <c r="I106" s="38" t="str">
        <f>IF($F$17=1,IF(L25=0,"","%"),"DM Basis")</f>
        <v>%</v>
      </c>
      <c r="J106" s="35"/>
    </row>
    <row r="107" spans="1:10" ht="15" customHeight="1">
      <c r="A107" s="35"/>
      <c r="B107" s="37"/>
      <c r="C107" s="35"/>
      <c r="D107" s="35"/>
      <c r="E107" s="35"/>
      <c r="F107" s="60">
        <f>IF($F$17=1,"",IF(L41=0,"",F53))</f>
      </c>
      <c r="G107" s="60">
        <f>IF($F$17=1,"",G53)</f>
      </c>
      <c r="H107" s="60">
        <f>IF($F$17=1,"",IF(L41=0,"",H53))</f>
      </c>
      <c r="I107" s="38">
        <f>IF(F17=1,"","lbs. As-is basis")</f>
      </c>
      <c r="J107" s="35"/>
    </row>
    <row r="108" spans="1:10" ht="15">
      <c r="A108" s="35"/>
      <c r="B108" s="61">
        <f>IF(F17=1,"","A value of ' XXX ' = do not feed.  Sulfur intake is very high.")</f>
      </c>
      <c r="C108" s="35"/>
      <c r="D108" s="35"/>
      <c r="E108" s="35"/>
      <c r="F108" s="35"/>
      <c r="G108" s="35"/>
      <c r="H108" s="35"/>
      <c r="I108" s="35"/>
      <c r="J108" s="35"/>
    </row>
  </sheetData>
  <sheetProtection/>
  <mergeCells count="16">
    <mergeCell ref="H80:J80"/>
    <mergeCell ref="H81:J81"/>
    <mergeCell ref="H82:J82"/>
    <mergeCell ref="H83:J83"/>
    <mergeCell ref="I77:J77"/>
    <mergeCell ref="I78:J78"/>
    <mergeCell ref="B79:D79"/>
    <mergeCell ref="H79:J79"/>
    <mergeCell ref="H15:J15"/>
    <mergeCell ref="I9:J9"/>
    <mergeCell ref="I10:J10"/>
    <mergeCell ref="B11:D11"/>
    <mergeCell ref="H11:J11"/>
    <mergeCell ref="H12:J12"/>
    <mergeCell ref="H13:J13"/>
    <mergeCell ref="H14:J14"/>
  </mergeCells>
  <printOptions/>
  <pageMargins left="0.75" right="0.75" top="1" bottom="1" header="0.5" footer="0.5"/>
  <pageSetup fitToHeight="1" fitToWidth="1" horizontalDpi="600" verticalDpi="600" orientation="portrait" scale="93" r:id="rId2"/>
  <headerFooter alignWithMargins="0">
    <oddFooter>&amp;LIowa Beef Center&amp;R&amp;D</oddFooter>
  </headerFooter>
  <ignoredErrors>
    <ignoredError sqref="H99" formula="1"/>
  </ignoredErrors>
  <drawing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U89"/>
  <sheetViews>
    <sheetView showGridLines="0" showRowColHeaders="0" zoomScalePageLayoutView="0" workbookViewId="0" topLeftCell="A88">
      <selection activeCell="J17" sqref="J17"/>
    </sheetView>
  </sheetViews>
  <sheetFormatPr defaultColWidth="9.140625" defaultRowHeight="12.75"/>
  <cols>
    <col min="1" max="1" width="11.28125" style="0" bestFit="1" customWidth="1"/>
    <col min="2" max="2" width="18.140625" style="0" customWidth="1"/>
    <col min="3" max="3" width="2.8515625" style="0" customWidth="1"/>
    <col min="5" max="5" width="5.140625" style="0" customWidth="1"/>
    <col min="6" max="6" width="10.7109375" style="0" customWidth="1"/>
    <col min="8" max="9" width="10.7109375" style="0" customWidth="1"/>
    <col min="11" max="11" width="17.421875" style="0" customWidth="1"/>
    <col min="14" max="15" width="0.85546875" style="0" customWidth="1"/>
  </cols>
  <sheetData>
    <row r="1" spans="11:21" ht="12.75">
      <c r="K1" s="139"/>
      <c r="L1" s="3"/>
      <c r="M1" s="3"/>
      <c r="N1" s="2"/>
      <c r="O1" s="1"/>
      <c r="P1" s="3"/>
      <c r="Q1" s="3"/>
      <c r="R1" s="3"/>
      <c r="S1" s="3"/>
      <c r="T1" s="3"/>
      <c r="U1" s="3"/>
    </row>
    <row r="2" spans="11:21" ht="12.75">
      <c r="K2" s="139"/>
      <c r="L2" s="3"/>
      <c r="M2" s="3"/>
      <c r="N2" s="2"/>
      <c r="O2" s="1"/>
      <c r="P2" s="3"/>
      <c r="Q2" s="3"/>
      <c r="R2" s="3"/>
      <c r="S2" s="3"/>
      <c r="T2" s="3"/>
      <c r="U2" s="3"/>
    </row>
    <row r="3" spans="12:21" ht="12.75">
      <c r="L3" s="3"/>
      <c r="M3" s="3"/>
      <c r="N3" s="2"/>
      <c r="O3" s="1"/>
      <c r="P3" s="3"/>
      <c r="Q3" s="3"/>
      <c r="R3" s="3"/>
      <c r="S3" s="3"/>
      <c r="T3" s="3"/>
      <c r="U3" s="3"/>
    </row>
    <row r="4" spans="2:21" ht="14.25">
      <c r="B4" s="7"/>
      <c r="L4" s="3"/>
      <c r="M4" s="3"/>
      <c r="N4" s="2"/>
      <c r="O4" s="1"/>
      <c r="P4" s="3"/>
      <c r="Q4" s="3"/>
      <c r="R4" s="3"/>
      <c r="S4" s="3"/>
      <c r="T4" s="3"/>
      <c r="U4" s="3"/>
    </row>
    <row r="5" spans="1:21" ht="45">
      <c r="A5" s="116" t="s">
        <v>77</v>
      </c>
      <c r="F5" s="6"/>
      <c r="L5" s="3"/>
      <c r="M5" s="3"/>
      <c r="N5" s="2"/>
      <c r="O5" s="1"/>
      <c r="P5" s="3"/>
      <c r="Q5" s="3"/>
      <c r="R5" s="3"/>
      <c r="S5" s="3"/>
      <c r="T5" s="3"/>
      <c r="U5" s="3"/>
    </row>
    <row r="6" spans="12:21" ht="13.5" thickBot="1">
      <c r="L6" s="3"/>
      <c r="M6" s="3"/>
      <c r="N6" s="2"/>
      <c r="O6" s="1"/>
      <c r="P6" s="3"/>
      <c r="Q6" s="3"/>
      <c r="R6" s="3"/>
      <c r="S6" s="3"/>
      <c r="T6" s="3"/>
      <c r="U6" s="3"/>
    </row>
    <row r="7" spans="1:21" ht="13.5" thickBot="1">
      <c r="A7" s="4" t="s">
        <v>45</v>
      </c>
      <c r="B7" s="5"/>
      <c r="C7" s="5"/>
      <c r="D7" s="5"/>
      <c r="E7" s="5"/>
      <c r="F7" s="5"/>
      <c r="G7" s="5"/>
      <c r="H7" s="5"/>
      <c r="I7" s="5"/>
      <c r="J7" s="5"/>
      <c r="K7" s="128">
        <v>39136</v>
      </c>
      <c r="L7" s="3"/>
      <c r="M7" s="3"/>
      <c r="N7" s="2"/>
      <c r="O7" s="1"/>
      <c r="P7" s="3"/>
      <c r="Q7" s="3"/>
      <c r="R7" s="3"/>
      <c r="S7" s="3"/>
      <c r="T7" s="3"/>
      <c r="U7" s="3"/>
    </row>
    <row r="8" spans="1:21" ht="15" customHeight="1">
      <c r="A8" s="2"/>
      <c r="B8" s="2"/>
      <c r="C8" s="2"/>
      <c r="D8" s="2"/>
      <c r="E8" s="2"/>
      <c r="F8" s="2"/>
      <c r="G8" s="2"/>
      <c r="H8" s="2"/>
      <c r="I8" s="2"/>
      <c r="J8" s="2"/>
      <c r="K8" s="2"/>
      <c r="L8" s="3"/>
      <c r="M8" s="3"/>
      <c r="N8" s="2"/>
      <c r="O8" s="1"/>
      <c r="P8" s="3"/>
      <c r="Q8" s="3"/>
      <c r="R8" s="3"/>
      <c r="S8" s="3"/>
      <c r="T8" s="3"/>
      <c r="U8" s="3"/>
    </row>
    <row r="9" spans="1:21" ht="15.75">
      <c r="A9" s="20"/>
      <c r="B9" s="2"/>
      <c r="C9" s="2"/>
      <c r="D9" s="2"/>
      <c r="E9" s="2"/>
      <c r="F9" s="2"/>
      <c r="G9" s="2"/>
      <c r="H9" s="9" t="s">
        <v>4</v>
      </c>
      <c r="I9" s="132"/>
      <c r="J9" s="133"/>
      <c r="K9" s="2"/>
      <c r="L9" s="3"/>
      <c r="M9" s="3"/>
      <c r="N9" s="2"/>
      <c r="O9" s="1"/>
      <c r="P9" s="3"/>
      <c r="Q9" s="3"/>
      <c r="R9" s="3"/>
      <c r="S9" s="3"/>
      <c r="T9" s="3"/>
      <c r="U9" s="3"/>
    </row>
    <row r="10" spans="1:21" ht="15.75">
      <c r="A10" s="8" t="s">
        <v>21</v>
      </c>
      <c r="B10" s="2"/>
      <c r="C10" s="2"/>
      <c r="D10" s="2"/>
      <c r="E10" s="2"/>
      <c r="F10" s="2"/>
      <c r="G10" s="2"/>
      <c r="H10" s="9"/>
      <c r="I10" s="134"/>
      <c r="J10" s="134"/>
      <c r="K10" s="2"/>
      <c r="L10" s="3"/>
      <c r="M10" s="3"/>
      <c r="N10" s="2"/>
      <c r="O10" s="1"/>
      <c r="P10" s="3"/>
      <c r="Q10" s="3"/>
      <c r="R10" s="3"/>
      <c r="S10" s="3"/>
      <c r="T10" s="3"/>
      <c r="U10" s="3"/>
    </row>
    <row r="11" spans="1:21" ht="16.5" customHeight="1" thickBot="1">
      <c r="A11" s="9"/>
      <c r="B11" s="135"/>
      <c r="C11" s="135"/>
      <c r="D11" s="135"/>
      <c r="E11" s="2"/>
      <c r="F11" s="2"/>
      <c r="G11" s="9" t="s">
        <v>0</v>
      </c>
      <c r="H11" s="135"/>
      <c r="I11" s="135"/>
      <c r="J11" s="135"/>
      <c r="K11" s="2"/>
      <c r="L11" s="3"/>
      <c r="M11" s="3"/>
      <c r="N11" s="2"/>
      <c r="O11" s="1"/>
      <c r="P11" s="3"/>
      <c r="Q11" s="3"/>
      <c r="R11" s="3"/>
      <c r="S11" s="3"/>
      <c r="T11" s="3"/>
      <c r="U11" s="3"/>
    </row>
    <row r="12" spans="1:21" ht="15.75">
      <c r="A12" s="2"/>
      <c r="B12" s="2"/>
      <c r="C12" s="2"/>
      <c r="D12" s="2"/>
      <c r="E12" s="2"/>
      <c r="F12" s="2"/>
      <c r="G12" s="9" t="s">
        <v>1</v>
      </c>
      <c r="H12" s="131"/>
      <c r="I12" s="131"/>
      <c r="J12" s="131"/>
      <c r="K12" s="2"/>
      <c r="L12" s="3"/>
      <c r="M12" s="3"/>
      <c r="N12" s="2"/>
      <c r="O12" s="1"/>
      <c r="P12" s="3"/>
      <c r="Q12" s="3"/>
      <c r="R12" s="3"/>
      <c r="S12" s="3"/>
      <c r="T12" s="3"/>
      <c r="U12" s="3"/>
    </row>
    <row r="13" spans="1:21" ht="15.75">
      <c r="A13" s="2"/>
      <c r="B13" s="2"/>
      <c r="C13" s="2"/>
      <c r="D13" s="2"/>
      <c r="E13" s="2"/>
      <c r="F13" s="2"/>
      <c r="G13" s="9"/>
      <c r="H13" s="136"/>
      <c r="I13" s="136"/>
      <c r="J13" s="136"/>
      <c r="K13" s="2"/>
      <c r="L13" s="3"/>
      <c r="M13" s="3"/>
      <c r="N13" s="2"/>
      <c r="O13" s="1"/>
      <c r="P13" s="3"/>
      <c r="Q13" s="3"/>
      <c r="R13" s="3"/>
      <c r="S13" s="3"/>
      <c r="T13" s="3"/>
      <c r="U13" s="3"/>
    </row>
    <row r="14" spans="1:21" ht="16.5" thickBot="1">
      <c r="A14" s="2"/>
      <c r="B14" s="2"/>
      <c r="C14" s="2"/>
      <c r="D14" s="2"/>
      <c r="E14" s="2"/>
      <c r="F14" s="2"/>
      <c r="G14" s="9"/>
      <c r="H14" s="135"/>
      <c r="I14" s="135"/>
      <c r="J14" s="135"/>
      <c r="K14" s="2"/>
      <c r="L14" s="3"/>
      <c r="M14" s="3"/>
      <c r="N14" s="2"/>
      <c r="O14" s="1"/>
      <c r="P14" s="3"/>
      <c r="Q14" s="3"/>
      <c r="R14" s="3"/>
      <c r="S14" s="3"/>
      <c r="T14" s="3"/>
      <c r="U14" s="3"/>
    </row>
    <row r="15" spans="1:21" ht="15.75">
      <c r="A15" s="2"/>
      <c r="B15" s="2"/>
      <c r="C15" s="2"/>
      <c r="D15" s="2"/>
      <c r="E15" s="2"/>
      <c r="F15" s="2"/>
      <c r="G15" s="9" t="s">
        <v>2</v>
      </c>
      <c r="H15" s="131"/>
      <c r="I15" s="131"/>
      <c r="J15" s="131"/>
      <c r="K15" s="2"/>
      <c r="L15" s="3"/>
      <c r="M15" s="3"/>
      <c r="N15" s="2"/>
      <c r="O15" s="1"/>
      <c r="P15" s="3"/>
      <c r="Q15" s="3"/>
      <c r="R15" s="3"/>
      <c r="S15" s="3"/>
      <c r="T15" s="3"/>
      <c r="U15" s="3"/>
    </row>
    <row r="16" spans="1:21" ht="18">
      <c r="A16" s="65" t="s">
        <v>3</v>
      </c>
      <c r="B16" s="2"/>
      <c r="C16" s="2"/>
      <c r="D16" s="2"/>
      <c r="E16" s="2"/>
      <c r="F16" s="2"/>
      <c r="G16" s="2"/>
      <c r="H16" s="2"/>
      <c r="I16" s="2"/>
      <c r="J16" s="2"/>
      <c r="K16" s="2"/>
      <c r="L16" s="3"/>
      <c r="M16" s="3"/>
      <c r="N16" s="2"/>
      <c r="O16" s="1"/>
      <c r="P16" s="3"/>
      <c r="Q16" s="3"/>
      <c r="R16" s="3"/>
      <c r="S16" s="3"/>
      <c r="T16" s="3"/>
      <c r="U16" s="3"/>
    </row>
    <row r="17" spans="1:21" ht="16.5" customHeight="1">
      <c r="A17" s="2"/>
      <c r="B17" s="8" t="s">
        <v>7</v>
      </c>
      <c r="C17" s="2"/>
      <c r="D17" s="2"/>
      <c r="E17" s="2"/>
      <c r="F17" s="16">
        <v>500</v>
      </c>
      <c r="G17" s="11" t="s">
        <v>22</v>
      </c>
      <c r="H17" s="17">
        <f>F17*0.4535924</f>
        <v>226.7962</v>
      </c>
      <c r="I17" s="11" t="s">
        <v>23</v>
      </c>
      <c r="J17" s="2"/>
      <c r="K17" s="2"/>
      <c r="L17" s="14"/>
      <c r="M17" s="14"/>
      <c r="N17" s="119"/>
      <c r="O17" s="120"/>
      <c r="P17" s="14"/>
      <c r="Q17" s="14"/>
      <c r="R17" s="14"/>
      <c r="S17" s="14"/>
      <c r="T17" s="14"/>
      <c r="U17" s="3"/>
    </row>
    <row r="18" spans="1:21" ht="16.5" customHeight="1">
      <c r="A18" s="2"/>
      <c r="B18" s="8" t="s">
        <v>85</v>
      </c>
      <c r="C18" s="2"/>
      <c r="D18" s="2"/>
      <c r="E18" s="2"/>
      <c r="F18" s="124">
        <v>2</v>
      </c>
      <c r="G18" s="11" t="s">
        <v>62</v>
      </c>
      <c r="H18" s="2"/>
      <c r="I18" s="2"/>
      <c r="J18" s="2"/>
      <c r="K18" s="2"/>
      <c r="L18" s="14"/>
      <c r="M18" s="14"/>
      <c r="N18" s="119"/>
      <c r="O18" s="120"/>
      <c r="P18" s="14"/>
      <c r="Q18" s="14"/>
      <c r="R18" s="14"/>
      <c r="S18" s="14"/>
      <c r="T18" s="14"/>
      <c r="U18" s="14"/>
    </row>
    <row r="19" spans="1:21" ht="16.5" customHeight="1">
      <c r="A19" s="2"/>
      <c r="B19" s="2"/>
      <c r="C19" s="2"/>
      <c r="D19" s="2"/>
      <c r="E19" s="2"/>
      <c r="F19" s="2"/>
      <c r="G19" s="2"/>
      <c r="H19" s="2"/>
      <c r="I19" s="2"/>
      <c r="J19" s="2"/>
      <c r="K19" s="2"/>
      <c r="L19" s="14"/>
      <c r="M19" s="14"/>
      <c r="N19" s="119"/>
      <c r="O19" s="120"/>
      <c r="P19" s="14"/>
      <c r="Q19" s="14">
        <v>40</v>
      </c>
      <c r="R19" s="14">
        <v>70</v>
      </c>
      <c r="S19" s="14">
        <v>90</v>
      </c>
      <c r="T19" s="14"/>
      <c r="U19" s="14"/>
    </row>
    <row r="20" spans="1:21" ht="33" customHeight="1">
      <c r="A20" s="2"/>
      <c r="B20" s="8" t="s">
        <v>63</v>
      </c>
      <c r="C20" s="2"/>
      <c r="D20" s="66" t="s">
        <v>60</v>
      </c>
      <c r="E20" s="19" t="s">
        <v>5</v>
      </c>
      <c r="F20" s="66" t="s">
        <v>61</v>
      </c>
      <c r="G20" s="2"/>
      <c r="H20" s="2"/>
      <c r="I20" s="2"/>
      <c r="J20" s="2"/>
      <c r="K20" s="2"/>
      <c r="L20" s="14"/>
      <c r="M20" s="14"/>
      <c r="N20" s="119"/>
      <c r="O20" s="120"/>
      <c r="P20" s="14" t="s">
        <v>16</v>
      </c>
      <c r="Q20" s="14" t="s">
        <v>65</v>
      </c>
      <c r="R20" s="14"/>
      <c r="S20" s="14"/>
      <c r="T20" s="14"/>
      <c r="U20" s="14"/>
    </row>
    <row r="21" spans="1:21" ht="16.5" customHeight="1">
      <c r="A21" s="2"/>
      <c r="B21" s="71" t="s">
        <v>59</v>
      </c>
      <c r="C21" s="2"/>
      <c r="D21" s="123">
        <v>0</v>
      </c>
      <c r="E21" s="2"/>
      <c r="F21" s="123">
        <v>0</v>
      </c>
      <c r="G21" s="2"/>
      <c r="H21" s="13"/>
      <c r="I21" s="13"/>
      <c r="J21" s="2"/>
      <c r="K21" s="2"/>
      <c r="L21" s="14">
        <f>IF(D21=0,F21/3,D21)</f>
        <v>0</v>
      </c>
      <c r="M21" s="14"/>
      <c r="N21" s="119"/>
      <c r="O21" s="120"/>
      <c r="P21" s="14">
        <f>L21/1000000</f>
        <v>0</v>
      </c>
      <c r="Q21" s="14">
        <f>0.08*F17*P21</f>
        <v>0</v>
      </c>
      <c r="R21" s="14">
        <f>0.1*F17*P21</f>
        <v>0</v>
      </c>
      <c r="S21" s="14">
        <f>0.18*F17*P21</f>
        <v>0</v>
      </c>
      <c r="T21" s="14"/>
      <c r="U21" s="14"/>
    </row>
    <row r="22" spans="1:21" ht="36" customHeight="1">
      <c r="A22" s="2"/>
      <c r="B22" s="67" t="s">
        <v>57</v>
      </c>
      <c r="C22" s="2"/>
      <c r="D22" s="66" t="str">
        <f>IF(F18=1,"ppm Sulfur","% Sulfur")</f>
        <v>% Sulfur</v>
      </c>
      <c r="E22" s="19" t="s">
        <v>5</v>
      </c>
      <c r="F22" s="66" t="str">
        <f>IF(F18=1,"ppm Sulfate","% Sulfate")</f>
        <v>% Sulfate</v>
      </c>
      <c r="G22" s="2"/>
      <c r="H22" s="66" t="s">
        <v>58</v>
      </c>
      <c r="I22" s="66" t="s">
        <v>84</v>
      </c>
      <c r="J22" s="2"/>
      <c r="K22" s="2"/>
      <c r="L22" s="14"/>
      <c r="M22" s="14"/>
      <c r="N22" s="119"/>
      <c r="O22" s="120"/>
      <c r="P22" s="14"/>
      <c r="Q22" s="14"/>
      <c r="R22" s="14"/>
      <c r="S22" s="14"/>
      <c r="T22" s="14"/>
      <c r="U22" s="14"/>
    </row>
    <row r="23" spans="1:21" ht="16.5" customHeight="1">
      <c r="A23" s="2"/>
      <c r="B23" s="121" t="s">
        <v>91</v>
      </c>
      <c r="C23" s="2"/>
      <c r="D23" s="121">
        <v>0.11</v>
      </c>
      <c r="E23" s="2"/>
      <c r="F23" s="121"/>
      <c r="G23" s="2"/>
      <c r="H23" s="121">
        <v>63</v>
      </c>
      <c r="I23" s="121">
        <v>5</v>
      </c>
      <c r="J23" s="2"/>
      <c r="K23" s="2"/>
      <c r="L23" s="14">
        <f>IF(D23=0,F23/3,D23)</f>
        <v>0.11</v>
      </c>
      <c r="M23" s="14">
        <f>(100-H23)*0.01*I23</f>
        <v>1.85</v>
      </c>
      <c r="N23" s="119"/>
      <c r="O23" s="120"/>
      <c r="P23" s="14">
        <f>IF($F$18=1,L23/1000000,L23)</f>
        <v>0.11</v>
      </c>
      <c r="Q23" s="14">
        <f>(100-H23)*0.01*I23*P23*0.01</f>
        <v>0.0020350000000000004</v>
      </c>
      <c r="R23" s="14"/>
      <c r="S23" s="14"/>
      <c r="T23" s="14"/>
      <c r="U23" s="14"/>
    </row>
    <row r="24" spans="1:21" ht="16.5" customHeight="1">
      <c r="A24" s="2"/>
      <c r="B24" s="121" t="s">
        <v>92</v>
      </c>
      <c r="C24" s="2"/>
      <c r="D24" s="121">
        <v>0.03</v>
      </c>
      <c r="E24" s="2"/>
      <c r="F24" s="121"/>
      <c r="G24" s="2"/>
      <c r="H24" s="121">
        <v>13</v>
      </c>
      <c r="I24" s="121">
        <v>3</v>
      </c>
      <c r="J24" s="2"/>
      <c r="K24" s="2"/>
      <c r="L24" s="14">
        <f>IF(D24=0,F24/3,D24)</f>
        <v>0.03</v>
      </c>
      <c r="M24" s="14">
        <f>(100-H24)*0.01*I24</f>
        <v>2.61</v>
      </c>
      <c r="N24" s="119"/>
      <c r="O24" s="120"/>
      <c r="P24" s="14">
        <f>IF($F$18=1,L24/1000000,L24)</f>
        <v>0.03</v>
      </c>
      <c r="Q24" s="14">
        <f>(100-H24)*0.01*I24*P24*0.01</f>
        <v>0.000783</v>
      </c>
      <c r="R24" s="14"/>
      <c r="S24" s="14"/>
      <c r="T24" s="14"/>
      <c r="U24" s="14"/>
    </row>
    <row r="25" spans="1:21" ht="16.5" customHeight="1">
      <c r="A25" s="65"/>
      <c r="B25" s="121" t="s">
        <v>64</v>
      </c>
      <c r="C25" s="2"/>
      <c r="D25" s="121">
        <v>0.09</v>
      </c>
      <c r="E25" s="2"/>
      <c r="F25" s="121"/>
      <c r="G25" s="2"/>
      <c r="H25" s="121">
        <v>12</v>
      </c>
      <c r="I25" s="121">
        <v>9</v>
      </c>
      <c r="J25" s="2"/>
      <c r="K25" s="2"/>
      <c r="L25" s="14">
        <f>IF(D25=0,F25/3,D25)</f>
        <v>0.09</v>
      </c>
      <c r="M25" s="14">
        <f>(100-H25)*0.01*I25</f>
        <v>7.92</v>
      </c>
      <c r="N25" s="119"/>
      <c r="O25" s="120"/>
      <c r="P25" s="14">
        <f>IF($F$18=1,L25/1000000,L25)</f>
        <v>0.09</v>
      </c>
      <c r="Q25" s="14">
        <f>(100-H25)*0.01*I25*P25*0.01</f>
        <v>0.007128</v>
      </c>
      <c r="R25" s="14"/>
      <c r="S25" s="14"/>
      <c r="T25" s="14"/>
      <c r="U25" s="14"/>
    </row>
    <row r="26" spans="1:21" ht="16.5" customHeight="1">
      <c r="A26" s="10"/>
      <c r="B26" s="121"/>
      <c r="C26" s="2"/>
      <c r="D26" s="121"/>
      <c r="E26" s="2"/>
      <c r="F26" s="121"/>
      <c r="G26" s="2"/>
      <c r="H26" s="121">
        <v>10</v>
      </c>
      <c r="I26" s="121">
        <v>0</v>
      </c>
      <c r="J26" s="2"/>
      <c r="K26" s="2"/>
      <c r="L26" s="14">
        <f>IF(D26=0,F26/3,D26)</f>
        <v>0</v>
      </c>
      <c r="M26" s="14">
        <f>(100-H26)*0.01*I26</f>
        <v>0</v>
      </c>
      <c r="N26" s="119"/>
      <c r="O26" s="120"/>
      <c r="P26" s="14">
        <f>IF($F$18=1,L26/1000000,L26)</f>
        <v>0</v>
      </c>
      <c r="Q26" s="14">
        <f>(100-H26)*0.01*I26*P26*0.01</f>
        <v>0</v>
      </c>
      <c r="R26" s="14"/>
      <c r="S26" s="14"/>
      <c r="T26" s="14"/>
      <c r="U26" s="14"/>
    </row>
    <row r="27" spans="1:21" ht="16.5" customHeight="1">
      <c r="A27" s="10"/>
      <c r="B27" s="121"/>
      <c r="C27" s="2"/>
      <c r="D27" s="121"/>
      <c r="E27" s="2"/>
      <c r="F27" s="121"/>
      <c r="G27" s="2"/>
      <c r="H27" s="121"/>
      <c r="I27" s="122"/>
      <c r="J27" s="2"/>
      <c r="K27" s="2"/>
      <c r="L27" s="14">
        <f>IF(D27=0,F27/3,D27)</f>
        <v>0</v>
      </c>
      <c r="M27" s="14">
        <f>(100-H27)*0.01*I27</f>
        <v>0</v>
      </c>
      <c r="N27" s="119"/>
      <c r="O27" s="120"/>
      <c r="P27" s="14">
        <f>IF($F$18=1,L27/1000000,L27)</f>
        <v>0</v>
      </c>
      <c r="Q27" s="14">
        <f>(100-H27)*0.01*I27*P27*0.01</f>
        <v>0</v>
      </c>
      <c r="R27" s="15"/>
      <c r="S27" s="14"/>
      <c r="T27" s="14"/>
      <c r="U27" s="14"/>
    </row>
    <row r="28" spans="1:21" ht="16.5" customHeight="1">
      <c r="A28" s="2"/>
      <c r="B28" s="68"/>
      <c r="C28" s="13"/>
      <c r="D28" s="89" t="str">
        <f>IF(F18=1,"Indicate ppm in feed on a 100 % DM Basis","Indicate % in feed on a 100 % DM Basis")</f>
        <v>Indicate % in feed on a 100 % DM Basis</v>
      </c>
      <c r="E28" s="13"/>
      <c r="F28" s="69"/>
      <c r="G28" s="69"/>
      <c r="H28" s="69"/>
      <c r="I28" s="73">
        <f>SUM(I23:I27)</f>
        <v>17</v>
      </c>
      <c r="J28" s="70" t="s">
        <v>66</v>
      </c>
      <c r="K28" s="13"/>
      <c r="L28" s="14"/>
      <c r="M28" s="14">
        <f>SUM(M23:M27)</f>
        <v>12.379999999999999</v>
      </c>
      <c r="N28" s="119"/>
      <c r="O28" s="120"/>
      <c r="P28" s="14"/>
      <c r="Q28" s="14">
        <f>SUM(Q23:Q27)</f>
        <v>0.009946</v>
      </c>
      <c r="R28" s="14"/>
      <c r="S28" s="14"/>
      <c r="T28" s="14"/>
      <c r="U28" s="14"/>
    </row>
    <row r="29" spans="1:21" ht="16.5" customHeight="1">
      <c r="A29" s="2"/>
      <c r="B29" s="68"/>
      <c r="C29" s="13"/>
      <c r="D29" s="13"/>
      <c r="E29" s="13"/>
      <c r="F29" s="69"/>
      <c r="G29" s="69"/>
      <c r="H29" s="69"/>
      <c r="I29" s="73">
        <f>I28*0.4535924</f>
        <v>7.7110708</v>
      </c>
      <c r="J29" s="70" t="s">
        <v>67</v>
      </c>
      <c r="K29" s="13"/>
      <c r="L29" s="14"/>
      <c r="M29" s="14"/>
      <c r="N29" s="119"/>
      <c r="O29" s="120"/>
      <c r="P29" s="14" t="s">
        <v>68</v>
      </c>
      <c r="Q29" s="14">
        <f>Q28+Q21</f>
        <v>0.009946</v>
      </c>
      <c r="R29" s="14">
        <f>Q28+R21</f>
        <v>0.009946</v>
      </c>
      <c r="S29" s="14">
        <f>Q28+S21</f>
        <v>0.009946</v>
      </c>
      <c r="T29" s="14"/>
      <c r="U29" s="14"/>
    </row>
    <row r="30" spans="1:21" ht="24.75" customHeight="1">
      <c r="A30" s="2"/>
      <c r="B30" s="68"/>
      <c r="C30" s="13"/>
      <c r="D30" s="13"/>
      <c r="E30" s="13"/>
      <c r="F30" s="69"/>
      <c r="G30" s="69"/>
      <c r="H30" s="69"/>
      <c r="I30" s="72"/>
      <c r="J30" s="70"/>
      <c r="K30" s="13"/>
      <c r="L30" s="14"/>
      <c r="M30" s="14"/>
      <c r="N30" s="119"/>
      <c r="O30" s="120"/>
      <c r="P30" s="14" t="s">
        <v>16</v>
      </c>
      <c r="Q30" s="14">
        <f>Q29/$M$28*100</f>
        <v>0.08033925686591277</v>
      </c>
      <c r="R30" s="14">
        <f>R29/$M$28*100</f>
        <v>0.08033925686591277</v>
      </c>
      <c r="S30" s="14">
        <f>S29/$M$28*100</f>
        <v>0.08033925686591277</v>
      </c>
      <c r="T30" s="14"/>
      <c r="U30" s="14"/>
    </row>
    <row r="31" spans="1:21" ht="18">
      <c r="A31" s="74" t="s">
        <v>14</v>
      </c>
      <c r="B31" s="75"/>
      <c r="C31" s="75"/>
      <c r="D31" s="75"/>
      <c r="E31" s="76" t="s">
        <v>13</v>
      </c>
      <c r="F31" s="77"/>
      <c r="G31" s="78"/>
      <c r="H31" s="79"/>
      <c r="I31" s="75"/>
      <c r="J31" s="75"/>
      <c r="K31" s="75"/>
      <c r="L31" s="14"/>
      <c r="M31" s="14"/>
      <c r="N31" s="119"/>
      <c r="O31" s="120"/>
      <c r="P31" s="14" t="s">
        <v>42</v>
      </c>
      <c r="Q31" s="14">
        <f>453.5924*Q29</f>
        <v>4.5114300104</v>
      </c>
      <c r="R31" s="14">
        <f>453.5924*R29</f>
        <v>4.5114300104</v>
      </c>
      <c r="S31" s="14">
        <f>453.5924*S29</f>
        <v>4.5114300104</v>
      </c>
      <c r="T31" s="14"/>
      <c r="U31" s="14"/>
    </row>
    <row r="32" spans="1:21" ht="18.75" thickBot="1">
      <c r="A32" s="80"/>
      <c r="B32" s="75"/>
      <c r="C32" s="75"/>
      <c r="D32" s="75"/>
      <c r="E32" s="75"/>
      <c r="F32" s="81">
        <v>40</v>
      </c>
      <c r="G32" s="82">
        <v>70</v>
      </c>
      <c r="H32" s="81">
        <v>90</v>
      </c>
      <c r="I32" s="75"/>
      <c r="J32" s="75"/>
      <c r="K32" s="75"/>
      <c r="L32" s="14"/>
      <c r="M32" s="14"/>
      <c r="N32" s="119"/>
      <c r="O32" s="120"/>
      <c r="P32" s="14"/>
      <c r="Q32" s="14"/>
      <c r="R32" s="14"/>
      <c r="S32" s="14"/>
      <c r="T32" s="14"/>
      <c r="U32" s="14"/>
    </row>
    <row r="33" spans="1:21" ht="24.75" customHeight="1">
      <c r="A33" s="75"/>
      <c r="B33" s="86" t="s">
        <v>69</v>
      </c>
      <c r="C33" s="75"/>
      <c r="D33" s="75"/>
      <c r="E33" s="75"/>
      <c r="F33" s="87">
        <f aca="true" t="shared" si="0" ref="F33:H34">Q30</f>
        <v>0.08033925686591277</v>
      </c>
      <c r="G33" s="87">
        <f t="shared" si="0"/>
        <v>0.08033925686591277</v>
      </c>
      <c r="H33" s="87">
        <f t="shared" si="0"/>
        <v>0.08033925686591277</v>
      </c>
      <c r="I33" s="83" t="s">
        <v>72</v>
      </c>
      <c r="J33" s="75"/>
      <c r="K33" s="75"/>
      <c r="L33" s="114"/>
      <c r="M33" s="114"/>
      <c r="N33" s="90"/>
      <c r="O33" s="115"/>
      <c r="P33" s="14"/>
      <c r="Q33" s="14"/>
      <c r="R33" s="14"/>
      <c r="S33" s="14"/>
      <c r="T33" s="14"/>
      <c r="U33" s="14"/>
    </row>
    <row r="34" spans="1:21" ht="24.75" customHeight="1">
      <c r="A34" s="75"/>
      <c r="B34" s="86" t="s">
        <v>70</v>
      </c>
      <c r="C34" s="75"/>
      <c r="D34" s="75"/>
      <c r="E34" s="75"/>
      <c r="F34" s="87">
        <f t="shared" si="0"/>
        <v>4.5114300104</v>
      </c>
      <c r="G34" s="87">
        <f t="shared" si="0"/>
        <v>4.5114300104</v>
      </c>
      <c r="H34" s="87">
        <f t="shared" si="0"/>
        <v>4.5114300104</v>
      </c>
      <c r="I34" s="83" t="s">
        <v>73</v>
      </c>
      <c r="J34" s="75"/>
      <c r="K34" s="75"/>
      <c r="L34" s="114"/>
      <c r="M34" s="114"/>
      <c r="N34" s="90"/>
      <c r="O34" s="115"/>
      <c r="P34" s="14"/>
      <c r="Q34" s="14"/>
      <c r="R34" s="14"/>
      <c r="S34" s="14"/>
      <c r="T34" s="14"/>
      <c r="U34" s="14"/>
    </row>
    <row r="35" spans="1:21" ht="24.75" customHeight="1">
      <c r="A35" s="75"/>
      <c r="B35" s="86" t="s">
        <v>71</v>
      </c>
      <c r="C35" s="75"/>
      <c r="D35" s="75"/>
      <c r="E35" s="75"/>
      <c r="F35" s="88">
        <f>Q29*16</f>
        <v>0.159136</v>
      </c>
      <c r="G35" s="88">
        <f>R29*16</f>
        <v>0.159136</v>
      </c>
      <c r="H35" s="88">
        <f>S29*16</f>
        <v>0.159136</v>
      </c>
      <c r="I35" s="83" t="s">
        <v>74</v>
      </c>
      <c r="J35" s="75"/>
      <c r="K35" s="75"/>
      <c r="L35" s="114"/>
      <c r="M35" s="114"/>
      <c r="N35" s="90"/>
      <c r="O35" s="115"/>
      <c r="P35" s="14"/>
      <c r="Q35" s="14"/>
      <c r="R35" s="14"/>
      <c r="S35" s="14"/>
      <c r="T35" s="14"/>
      <c r="U35" s="14"/>
    </row>
    <row r="36" spans="1:21" ht="24.75" customHeight="1">
      <c r="A36" s="75"/>
      <c r="B36" s="86" t="s">
        <v>81</v>
      </c>
      <c r="C36" s="75"/>
      <c r="D36" s="75"/>
      <c r="E36" s="75"/>
      <c r="F36" s="18">
        <f>Q21/Q29*100</f>
        <v>0</v>
      </c>
      <c r="G36" s="18">
        <f>R21/R29*100</f>
        <v>0</v>
      </c>
      <c r="H36" s="18">
        <f>S21/S29*100</f>
        <v>0</v>
      </c>
      <c r="I36" s="62" t="s">
        <v>16</v>
      </c>
      <c r="J36" s="75"/>
      <c r="K36" s="75"/>
      <c r="L36" s="114"/>
      <c r="M36" s="114"/>
      <c r="N36" s="90"/>
      <c r="O36" s="115"/>
      <c r="P36" s="12"/>
      <c r="Q36" s="12"/>
      <c r="R36" s="12"/>
      <c r="S36" s="12"/>
      <c r="T36" s="12"/>
      <c r="U36" s="12"/>
    </row>
    <row r="37" spans="1:21" ht="24.75" customHeight="1">
      <c r="A37" s="75"/>
      <c r="B37" s="84"/>
      <c r="C37" s="75"/>
      <c r="D37" s="85"/>
      <c r="E37" s="75"/>
      <c r="F37" s="75"/>
      <c r="G37" s="75"/>
      <c r="H37" s="75"/>
      <c r="I37" s="75"/>
      <c r="J37" s="75"/>
      <c r="K37" s="75"/>
      <c r="L37" s="114"/>
      <c r="M37" s="114"/>
      <c r="N37" s="90"/>
      <c r="O37" s="115"/>
      <c r="P37" s="114"/>
      <c r="Q37" s="114"/>
      <c r="R37" s="114"/>
      <c r="S37" s="114"/>
      <c r="T37" s="114"/>
      <c r="U37" s="114"/>
    </row>
    <row r="38" spans="1:21" ht="24.75" customHeight="1">
      <c r="A38" s="75"/>
      <c r="B38" s="75"/>
      <c r="C38" s="75"/>
      <c r="D38" s="75"/>
      <c r="E38" s="75"/>
      <c r="F38" s="75"/>
      <c r="G38" s="75"/>
      <c r="H38" s="75"/>
      <c r="I38" s="75"/>
      <c r="J38" s="75"/>
      <c r="K38" s="75"/>
      <c r="L38" s="114"/>
      <c r="M38" s="114"/>
      <c r="N38" s="90"/>
      <c r="O38" s="115"/>
      <c r="P38" s="114"/>
      <c r="Q38" s="114"/>
      <c r="R38" s="114"/>
      <c r="S38" s="114"/>
      <c r="T38" s="114"/>
      <c r="U38" s="114"/>
    </row>
    <row r="39" spans="1:21" ht="12.75">
      <c r="A39" s="75"/>
      <c r="B39" s="75"/>
      <c r="C39" s="75"/>
      <c r="D39" s="75"/>
      <c r="E39" s="75"/>
      <c r="F39" s="75"/>
      <c r="G39" s="75"/>
      <c r="H39" s="75"/>
      <c r="I39" s="75"/>
      <c r="J39" s="75"/>
      <c r="K39" s="75"/>
      <c r="L39" s="114"/>
      <c r="M39" s="114"/>
      <c r="N39" s="90"/>
      <c r="O39" s="115"/>
      <c r="P39" s="114"/>
      <c r="Q39" s="114"/>
      <c r="R39" s="114"/>
      <c r="S39" s="114"/>
      <c r="T39" s="114"/>
      <c r="U39" s="114"/>
    </row>
    <row r="40" spans="1:21" ht="12.75">
      <c r="A40" s="75"/>
      <c r="B40" s="75"/>
      <c r="C40" s="75"/>
      <c r="D40" s="75"/>
      <c r="E40" s="75"/>
      <c r="F40" s="75"/>
      <c r="G40" s="75"/>
      <c r="H40" s="75"/>
      <c r="I40" s="75"/>
      <c r="J40" s="75"/>
      <c r="K40" s="75" t="s">
        <v>34</v>
      </c>
      <c r="L40" s="114"/>
      <c r="M40" s="114"/>
      <c r="N40" s="114"/>
      <c r="O40" s="114"/>
      <c r="P40" s="114"/>
      <c r="Q40" s="114"/>
      <c r="R40" s="114"/>
      <c r="S40" s="114"/>
      <c r="T40" s="114"/>
      <c r="U40" s="114"/>
    </row>
    <row r="41" spans="1:21" ht="12.75">
      <c r="A41" s="3"/>
      <c r="B41" s="3"/>
      <c r="C41" s="3"/>
      <c r="D41" s="3"/>
      <c r="E41" s="3"/>
      <c r="F41" s="3"/>
      <c r="G41" s="3"/>
      <c r="H41" s="3"/>
      <c r="I41" s="3"/>
      <c r="J41" s="3"/>
      <c r="K41" s="3"/>
      <c r="L41" s="114"/>
      <c r="M41" s="114"/>
      <c r="N41" s="114"/>
      <c r="O41" s="114"/>
      <c r="P41" s="114"/>
      <c r="Q41" s="114"/>
      <c r="R41" s="114"/>
      <c r="S41" s="114"/>
      <c r="T41" s="114"/>
      <c r="U41" s="114"/>
    </row>
    <row r="42" spans="1:21" ht="12.75">
      <c r="A42" s="3"/>
      <c r="B42" s="3"/>
      <c r="C42" s="3"/>
      <c r="D42" s="3"/>
      <c r="E42" s="3"/>
      <c r="F42" s="3"/>
      <c r="G42" s="3"/>
      <c r="H42" s="3"/>
      <c r="I42" s="3"/>
      <c r="J42" s="3"/>
      <c r="K42" s="3"/>
      <c r="L42" s="3"/>
      <c r="M42" s="3"/>
      <c r="N42" s="3"/>
      <c r="O42" s="3"/>
      <c r="P42" s="14"/>
      <c r="Q42" s="14"/>
      <c r="R42" s="14"/>
      <c r="S42" s="14"/>
      <c r="T42" s="14"/>
      <c r="U42" s="14"/>
    </row>
    <row r="43" spans="1:21" ht="30" customHeight="1">
      <c r="A43" s="3"/>
      <c r="B43" s="3"/>
      <c r="C43" s="3"/>
      <c r="D43" s="3"/>
      <c r="E43" s="3"/>
      <c r="F43" s="3"/>
      <c r="G43" s="3"/>
      <c r="H43" s="3"/>
      <c r="I43" s="3"/>
      <c r="J43" s="3"/>
      <c r="K43" s="3"/>
      <c r="L43" s="3"/>
      <c r="M43" s="3"/>
      <c r="N43" s="3"/>
      <c r="O43" s="3"/>
      <c r="P43" s="14"/>
      <c r="Q43" s="14"/>
      <c r="R43" s="14"/>
      <c r="S43" s="14"/>
      <c r="T43" s="14"/>
      <c r="U43" s="14"/>
    </row>
    <row r="44" spans="1:21" ht="30" customHeight="1">
      <c r="A44" s="3"/>
      <c r="B44" s="3"/>
      <c r="C44" s="3"/>
      <c r="D44" s="3"/>
      <c r="E44" s="3"/>
      <c r="F44" s="3"/>
      <c r="G44" s="3"/>
      <c r="H44" s="3"/>
      <c r="I44" s="3"/>
      <c r="J44" s="3"/>
      <c r="K44" s="3"/>
      <c r="L44" s="3"/>
      <c r="M44" s="3"/>
      <c r="N44" s="3"/>
      <c r="O44" s="3"/>
      <c r="P44" s="14"/>
      <c r="Q44" s="14"/>
      <c r="R44" s="14"/>
      <c r="S44" s="14"/>
      <c r="T44" s="14"/>
      <c r="U44" s="14"/>
    </row>
    <row r="45" spans="1:21" ht="30" customHeight="1">
      <c r="A45" s="3"/>
      <c r="B45" s="3"/>
      <c r="C45" s="3"/>
      <c r="D45" s="3"/>
      <c r="E45" s="3"/>
      <c r="F45" s="3"/>
      <c r="G45" s="3"/>
      <c r="H45" s="3"/>
      <c r="I45" s="3"/>
      <c r="J45" s="3"/>
      <c r="K45" s="3"/>
      <c r="L45" s="3"/>
      <c r="M45" s="3"/>
      <c r="N45" s="3"/>
      <c r="O45" s="3"/>
      <c r="P45" s="14"/>
      <c r="Q45" s="14"/>
      <c r="R45" s="14"/>
      <c r="S45" s="14"/>
      <c r="T45" s="14"/>
      <c r="U45" s="14"/>
    </row>
    <row r="46" spans="1:21" ht="30" customHeight="1">
      <c r="A46" s="3"/>
      <c r="B46" s="3"/>
      <c r="C46" s="3"/>
      <c r="D46" s="3"/>
      <c r="E46" s="3"/>
      <c r="F46" s="3"/>
      <c r="G46" s="3"/>
      <c r="H46" s="3"/>
      <c r="I46" s="3"/>
      <c r="J46" s="3"/>
      <c r="K46" s="3"/>
      <c r="L46" s="3"/>
      <c r="M46" s="3"/>
      <c r="N46" s="3"/>
      <c r="O46" s="3"/>
      <c r="P46" s="14"/>
      <c r="Q46" s="14"/>
      <c r="R46" s="14"/>
      <c r="S46" s="14"/>
      <c r="T46" s="14"/>
      <c r="U46" s="14"/>
    </row>
    <row r="47" spans="1:21" ht="30" customHeight="1">
      <c r="A47" s="3"/>
      <c r="B47" s="3"/>
      <c r="C47" s="3"/>
      <c r="D47" s="3"/>
      <c r="E47" s="3"/>
      <c r="F47" s="3"/>
      <c r="G47" s="3"/>
      <c r="H47" s="3"/>
      <c r="I47" s="3"/>
      <c r="J47" s="3"/>
      <c r="K47" s="3"/>
      <c r="L47" s="3"/>
      <c r="M47" s="3"/>
      <c r="N47" s="3"/>
      <c r="O47" s="3"/>
      <c r="P47" s="14"/>
      <c r="Q47" s="14"/>
      <c r="R47" s="14"/>
      <c r="S47" s="14"/>
      <c r="T47" s="14"/>
      <c r="U47" s="14"/>
    </row>
    <row r="53" ht="12.75">
      <c r="J53" s="125" t="s">
        <v>83</v>
      </c>
    </row>
    <row r="55" ht="23.25">
      <c r="A55" s="28" t="s">
        <v>75</v>
      </c>
    </row>
    <row r="57" spans="1:11" ht="16.5" thickBot="1">
      <c r="A57" s="21"/>
      <c r="B57" s="21"/>
      <c r="C57" s="21"/>
      <c r="D57" s="21"/>
      <c r="E57" s="21"/>
      <c r="F57" s="21"/>
      <c r="G57" s="21"/>
      <c r="H57" s="29" t="s">
        <v>4</v>
      </c>
      <c r="I57" s="137">
        <f>I9</f>
        <v>0</v>
      </c>
      <c r="J57" s="137"/>
      <c r="K57" s="23"/>
    </row>
    <row r="58" spans="1:11" ht="15.75">
      <c r="A58" s="24" t="s">
        <v>21</v>
      </c>
      <c r="B58" s="23"/>
      <c r="C58" s="23"/>
      <c r="D58" s="23"/>
      <c r="E58" s="23"/>
      <c r="F58" s="23"/>
      <c r="G58" s="23"/>
      <c r="H58" s="29"/>
      <c r="I58" s="138"/>
      <c r="J58" s="138"/>
      <c r="K58" s="23"/>
    </row>
    <row r="59" spans="1:11" ht="15.75">
      <c r="A59" s="22"/>
      <c r="B59" s="129">
        <f>B11</f>
        <v>0</v>
      </c>
      <c r="C59" s="129"/>
      <c r="D59" s="129"/>
      <c r="E59" s="23"/>
      <c r="F59" s="23"/>
      <c r="G59" s="22" t="s">
        <v>0</v>
      </c>
      <c r="H59" s="130">
        <f>H11</f>
        <v>0</v>
      </c>
      <c r="I59" s="130"/>
      <c r="J59" s="130"/>
      <c r="K59" s="23"/>
    </row>
    <row r="60" spans="1:11" ht="15.75">
      <c r="A60" s="23"/>
      <c r="B60" s="23"/>
      <c r="C60" s="23"/>
      <c r="D60" s="23"/>
      <c r="E60" s="23"/>
      <c r="F60" s="23"/>
      <c r="G60" s="22" t="s">
        <v>1</v>
      </c>
      <c r="H60" s="130">
        <f>H12</f>
        <v>0</v>
      </c>
      <c r="I60" s="130"/>
      <c r="J60" s="130"/>
      <c r="K60" s="23"/>
    </row>
    <row r="61" spans="1:11" ht="15.75">
      <c r="A61" s="23"/>
      <c r="B61" s="23"/>
      <c r="C61" s="23"/>
      <c r="D61" s="23"/>
      <c r="E61" s="23"/>
      <c r="F61" s="23"/>
      <c r="G61" s="22"/>
      <c r="H61" s="130">
        <f>H13</f>
        <v>0</v>
      </c>
      <c r="I61" s="130"/>
      <c r="J61" s="130"/>
      <c r="K61" s="23"/>
    </row>
    <row r="62" spans="1:11" ht="15.75">
      <c r="A62" s="23"/>
      <c r="B62" s="23"/>
      <c r="C62" s="23"/>
      <c r="D62" s="23"/>
      <c r="E62" s="23"/>
      <c r="F62" s="23"/>
      <c r="G62" s="22"/>
      <c r="H62" s="130">
        <f>H14</f>
        <v>0</v>
      </c>
      <c r="I62" s="130"/>
      <c r="J62" s="130"/>
      <c r="K62" s="23"/>
    </row>
    <row r="63" spans="1:11" ht="15.75">
      <c r="A63" s="23"/>
      <c r="B63" s="23"/>
      <c r="C63" s="23"/>
      <c r="D63" s="23"/>
      <c r="E63" s="23"/>
      <c r="F63" s="23"/>
      <c r="G63" s="22" t="s">
        <v>2</v>
      </c>
      <c r="H63" s="130">
        <f>H15</f>
        <v>0</v>
      </c>
      <c r="I63" s="130"/>
      <c r="J63" s="130"/>
      <c r="K63" s="23"/>
    </row>
    <row r="64" spans="1:11" ht="15.75">
      <c r="A64" s="23"/>
      <c r="B64" s="23"/>
      <c r="C64" s="23"/>
      <c r="D64" s="23"/>
      <c r="E64" s="23"/>
      <c r="F64" s="23"/>
      <c r="G64" s="22"/>
      <c r="H64" s="64"/>
      <c r="I64" s="64"/>
      <c r="J64" s="64"/>
      <c r="K64" s="23"/>
    </row>
    <row r="65" spans="1:11" ht="18">
      <c r="A65" s="101" t="s">
        <v>3</v>
      </c>
      <c r="B65" s="34"/>
      <c r="C65" s="34"/>
      <c r="D65" s="34"/>
      <c r="E65" s="34"/>
      <c r="F65" s="34"/>
      <c r="G65" s="34"/>
      <c r="H65" s="34"/>
      <c r="I65" s="34"/>
      <c r="J65" s="34"/>
      <c r="K65" s="34"/>
    </row>
    <row r="66" spans="1:11" ht="16.5" customHeight="1">
      <c r="A66" s="93"/>
      <c r="B66" s="94" t="s">
        <v>7</v>
      </c>
      <c r="C66" s="93"/>
      <c r="D66" s="93"/>
      <c r="E66" s="93"/>
      <c r="F66" s="91">
        <f>F17</f>
        <v>500</v>
      </c>
      <c r="G66" s="95" t="s">
        <v>22</v>
      </c>
      <c r="H66" s="92">
        <f>H17</f>
        <v>226.7962</v>
      </c>
      <c r="I66" s="95" t="s">
        <v>23</v>
      </c>
      <c r="J66" s="93"/>
      <c r="K66" s="41"/>
    </row>
    <row r="67" spans="1:11" ht="16.5" customHeight="1">
      <c r="A67" s="93"/>
      <c r="B67" s="94" t="s">
        <v>80</v>
      </c>
      <c r="C67" s="93"/>
      <c r="D67" s="93"/>
      <c r="E67" s="93"/>
      <c r="F67" s="91">
        <f>F18</f>
        <v>2</v>
      </c>
      <c r="G67" s="95" t="s">
        <v>62</v>
      </c>
      <c r="H67" s="93"/>
      <c r="I67" s="93"/>
      <c r="J67" s="93"/>
      <c r="K67" s="27"/>
    </row>
    <row r="68" spans="1:11" ht="15.75" customHeight="1">
      <c r="A68" s="93"/>
      <c r="B68" s="93"/>
      <c r="C68" s="93"/>
      <c r="D68" s="93"/>
      <c r="E68" s="93"/>
      <c r="F68" s="93"/>
      <c r="G68" s="93"/>
      <c r="H68" s="93"/>
      <c r="I68" s="93"/>
      <c r="J68" s="93"/>
      <c r="K68" s="27"/>
    </row>
    <row r="69" spans="1:11" ht="34.5" customHeight="1" thickBot="1">
      <c r="A69" s="93"/>
      <c r="B69" s="106"/>
      <c r="C69" s="107"/>
      <c r="D69" s="108" t="s">
        <v>60</v>
      </c>
      <c r="E69" s="109" t="s">
        <v>5</v>
      </c>
      <c r="F69" s="108" t="s">
        <v>61</v>
      </c>
      <c r="G69" s="93"/>
      <c r="H69" s="93"/>
      <c r="I69" s="93"/>
      <c r="J69" s="93"/>
      <c r="K69" s="27"/>
    </row>
    <row r="70" spans="1:11" ht="16.5" customHeight="1">
      <c r="A70" s="93"/>
      <c r="B70" s="102" t="s">
        <v>59</v>
      </c>
      <c r="C70" s="93"/>
      <c r="D70" s="103">
        <f>D21</f>
        <v>0</v>
      </c>
      <c r="E70" s="93"/>
      <c r="F70" s="103">
        <f>F21</f>
        <v>0</v>
      </c>
      <c r="G70" s="93"/>
      <c r="H70" s="93"/>
      <c r="I70" s="93"/>
      <c r="J70" s="93"/>
      <c r="K70" s="23"/>
    </row>
    <row r="71" spans="1:10" ht="32.25" thickBot="1">
      <c r="A71" s="93"/>
      <c r="B71" s="106" t="s">
        <v>57</v>
      </c>
      <c r="C71" s="107"/>
      <c r="D71" s="108" t="str">
        <f>IF(F67=1,"ppm Sulfur","% Sulfur")</f>
        <v>% Sulfur</v>
      </c>
      <c r="E71" s="109" t="s">
        <v>5</v>
      </c>
      <c r="F71" s="108" t="str">
        <f>IF(F67=1,"ppm Sulfate","% Sulfate")</f>
        <v>% Sulfate</v>
      </c>
      <c r="G71" s="107"/>
      <c r="H71" s="108" t="s">
        <v>58</v>
      </c>
      <c r="I71" s="108" t="s">
        <v>84</v>
      </c>
      <c r="J71" s="93"/>
    </row>
    <row r="72" spans="1:10" ht="16.5" customHeight="1">
      <c r="A72" s="93"/>
      <c r="B72" s="103" t="str">
        <f>B23</f>
        <v>silage</v>
      </c>
      <c r="C72" s="103"/>
      <c r="D72" s="103">
        <f>D23</f>
        <v>0.11</v>
      </c>
      <c r="E72" s="103"/>
      <c r="F72" s="103">
        <f>F23</f>
        <v>0</v>
      </c>
      <c r="G72" s="103"/>
      <c r="H72" s="103">
        <f aca="true" t="shared" si="1" ref="H72:I75">H23</f>
        <v>63</v>
      </c>
      <c r="I72" s="103">
        <f t="shared" si="1"/>
        <v>5</v>
      </c>
      <c r="J72" s="93"/>
    </row>
    <row r="73" spans="1:10" ht="16.5" customHeight="1">
      <c r="A73" s="93"/>
      <c r="B73" s="103" t="str">
        <f>B24</f>
        <v>grain</v>
      </c>
      <c r="C73" s="103"/>
      <c r="D73" s="103">
        <f>D24</f>
        <v>0.03</v>
      </c>
      <c r="E73" s="103"/>
      <c r="F73" s="103">
        <f>F24</f>
        <v>0</v>
      </c>
      <c r="G73" s="103"/>
      <c r="H73" s="103">
        <f t="shared" si="1"/>
        <v>13</v>
      </c>
      <c r="I73" s="103">
        <f t="shared" si="1"/>
        <v>3</v>
      </c>
      <c r="J73" s="93"/>
    </row>
    <row r="74" spans="1:10" ht="16.5" customHeight="1">
      <c r="A74" s="104"/>
      <c r="B74" s="103" t="str">
        <f>B25</f>
        <v>hay</v>
      </c>
      <c r="C74" s="103"/>
      <c r="D74" s="103">
        <f>D25</f>
        <v>0.09</v>
      </c>
      <c r="E74" s="103"/>
      <c r="F74" s="103">
        <f>F25</f>
        <v>0</v>
      </c>
      <c r="G74" s="103"/>
      <c r="H74" s="103">
        <f t="shared" si="1"/>
        <v>12</v>
      </c>
      <c r="I74" s="103">
        <f t="shared" si="1"/>
        <v>9</v>
      </c>
      <c r="J74" s="93"/>
    </row>
    <row r="75" spans="1:10" ht="16.5" customHeight="1">
      <c r="A75" s="104"/>
      <c r="B75" s="103">
        <f>B26</f>
        <v>0</v>
      </c>
      <c r="C75" s="103"/>
      <c r="D75" s="103">
        <f>D26</f>
        <v>0</v>
      </c>
      <c r="E75" s="103"/>
      <c r="F75" s="103">
        <f>F26</f>
        <v>0</v>
      </c>
      <c r="G75" s="103"/>
      <c r="H75" s="103">
        <f t="shared" si="1"/>
        <v>10</v>
      </c>
      <c r="I75" s="103">
        <f t="shared" si="1"/>
        <v>0</v>
      </c>
      <c r="J75" s="93"/>
    </row>
    <row r="76" spans="1:10" ht="16.5" customHeight="1">
      <c r="A76" s="104"/>
      <c r="B76" s="111">
        <f aca="true" t="shared" si="2" ref="B76:I76">B27</f>
        <v>0</v>
      </c>
      <c r="C76" s="111"/>
      <c r="D76" s="111">
        <f t="shared" si="2"/>
        <v>0</v>
      </c>
      <c r="E76" s="111"/>
      <c r="F76" s="111">
        <f t="shared" si="2"/>
        <v>0</v>
      </c>
      <c r="G76" s="111"/>
      <c r="H76" s="111">
        <f t="shared" si="2"/>
        <v>0</v>
      </c>
      <c r="I76" s="111">
        <f t="shared" si="2"/>
        <v>0</v>
      </c>
      <c r="J76" s="93"/>
    </row>
    <row r="77" spans="1:10" ht="15.75">
      <c r="A77" s="93"/>
      <c r="B77" s="94"/>
      <c r="C77" s="93"/>
      <c r="D77" s="95" t="s">
        <v>79</v>
      </c>
      <c r="E77" s="93"/>
      <c r="F77" s="96"/>
      <c r="G77" s="96"/>
      <c r="H77" s="96"/>
      <c r="I77" s="110">
        <f>SUM(I72:I76)</f>
        <v>17</v>
      </c>
      <c r="J77" s="95" t="s">
        <v>66</v>
      </c>
    </row>
    <row r="78" spans="1:10" ht="15.75">
      <c r="A78" s="93"/>
      <c r="B78" s="94"/>
      <c r="C78" s="93"/>
      <c r="D78" s="93"/>
      <c r="E78" s="93"/>
      <c r="F78" s="96"/>
      <c r="G78" s="96"/>
      <c r="H78" s="96"/>
      <c r="I78" s="97">
        <f>I77*0.4535924</f>
        <v>7.7110708</v>
      </c>
      <c r="J78" s="95" t="s">
        <v>67</v>
      </c>
    </row>
    <row r="79" spans="1:10" ht="15.75">
      <c r="A79" s="93"/>
      <c r="B79" s="94"/>
      <c r="C79" s="93"/>
      <c r="D79" s="93"/>
      <c r="E79" s="93"/>
      <c r="F79" s="96"/>
      <c r="G79" s="96"/>
      <c r="H79" s="96"/>
      <c r="I79" s="98"/>
      <c r="J79" s="95"/>
    </row>
    <row r="80" ht="18">
      <c r="A80" s="104" t="s">
        <v>14</v>
      </c>
    </row>
    <row r="81" spans="1:10" ht="18">
      <c r="A81" s="104"/>
      <c r="B81" s="93"/>
      <c r="C81" s="93"/>
      <c r="D81" s="93"/>
      <c r="E81" s="105"/>
      <c r="F81" s="113">
        <f>IF(F83=H83,"","Air Temperture - degrees F")</f>
      </c>
      <c r="G81" s="99"/>
      <c r="H81" s="100"/>
      <c r="I81" s="93"/>
      <c r="J81" s="93"/>
    </row>
    <row r="82" spans="1:10" ht="16.5" thickBot="1">
      <c r="A82" s="93"/>
      <c r="B82" s="93"/>
      <c r="C82" s="93"/>
      <c r="D82" s="93"/>
      <c r="E82" s="93"/>
      <c r="F82" s="117">
        <f>IF(F83=H83,"",40)</f>
      </c>
      <c r="G82" s="118">
        <f>IF(F83=H83,"",70)</f>
      </c>
      <c r="H82" s="117">
        <f>IF(F83=H83,"",90)</f>
      </c>
      <c r="I82" s="93"/>
      <c r="J82" s="93"/>
    </row>
    <row r="83" spans="1:10" ht="15.75">
      <c r="A83" s="93"/>
      <c r="B83" s="94" t="s">
        <v>82</v>
      </c>
      <c r="C83" s="93"/>
      <c r="D83" s="93"/>
      <c r="E83" s="93"/>
      <c r="F83" s="112">
        <f>IF(F33=H33,"",F33)</f>
      </c>
      <c r="G83" s="112">
        <f>G33</f>
        <v>0.08033925686591277</v>
      </c>
      <c r="H83" s="112">
        <f>IF(F33=H33,"",H33)</f>
      </c>
      <c r="I83" s="95" t="s">
        <v>72</v>
      </c>
      <c r="J83" s="93"/>
    </row>
    <row r="84" spans="1:10" ht="15.75">
      <c r="A84" s="93"/>
      <c r="B84" s="94" t="s">
        <v>70</v>
      </c>
      <c r="C84" s="93"/>
      <c r="D84" s="93"/>
      <c r="E84" s="93"/>
      <c r="F84" s="112">
        <f>IF(F34=H34,"",F34)</f>
      </c>
      <c r="G84" s="112">
        <f>G34</f>
        <v>4.5114300104</v>
      </c>
      <c r="H84" s="112">
        <f>IF(F34=H34,"",H34)</f>
      </c>
      <c r="I84" s="95" t="s">
        <v>73</v>
      </c>
      <c r="J84" s="93"/>
    </row>
    <row r="85" spans="1:10" ht="15" customHeight="1">
      <c r="A85" s="35"/>
      <c r="B85" s="94" t="s">
        <v>71</v>
      </c>
      <c r="C85" s="93"/>
      <c r="D85" s="93"/>
      <c r="E85" s="93"/>
      <c r="F85" s="112">
        <f>IF(F35=H35,"",F35)</f>
      </c>
      <c r="G85" s="112">
        <f>G35</f>
        <v>0.159136</v>
      </c>
      <c r="H85" s="112">
        <f>IF(F35=H35,"",H35)</f>
      </c>
      <c r="I85" s="95" t="s">
        <v>74</v>
      </c>
      <c r="J85" s="93"/>
    </row>
    <row r="86" spans="1:10" ht="15" customHeight="1">
      <c r="A86" s="35"/>
      <c r="B86" s="94" t="s">
        <v>81</v>
      </c>
      <c r="C86" s="35"/>
      <c r="D86" s="35"/>
      <c r="E86" s="35"/>
      <c r="F86" s="112">
        <f>IF(F36=H36,"",F36)</f>
      </c>
      <c r="G86" s="112">
        <f>G36</f>
        <v>0</v>
      </c>
      <c r="H86" s="112">
        <f>IF(F36=H36,"",H36)</f>
      </c>
      <c r="I86" s="38" t="s">
        <v>16</v>
      </c>
      <c r="J86" s="35"/>
    </row>
    <row r="87" spans="2:10" ht="15" customHeight="1">
      <c r="B87" s="37"/>
      <c r="C87" s="35"/>
      <c r="D87" s="35"/>
      <c r="E87" s="35"/>
      <c r="F87" s="60"/>
      <c r="G87" s="60"/>
      <c r="H87" s="60"/>
      <c r="I87" s="38"/>
      <c r="J87" s="35"/>
    </row>
    <row r="88" spans="1:10" ht="15" customHeight="1">
      <c r="A88" s="127" t="s">
        <v>76</v>
      </c>
      <c r="B88" s="37"/>
      <c r="C88" s="35"/>
      <c r="D88" s="35"/>
      <c r="E88" s="35"/>
      <c r="F88" s="60"/>
      <c r="G88" s="60"/>
      <c r="H88" s="60"/>
      <c r="I88" s="38"/>
      <c r="J88" s="35"/>
    </row>
    <row r="89" spans="1:10" ht="15">
      <c r="A89" s="35"/>
      <c r="B89" s="61"/>
      <c r="C89" s="35"/>
      <c r="D89" s="35"/>
      <c r="E89" s="35"/>
      <c r="F89" s="35"/>
      <c r="G89" s="35"/>
      <c r="H89" s="35"/>
      <c r="I89" s="35"/>
      <c r="J89" s="35"/>
    </row>
  </sheetData>
  <sheetProtection password="86A6" sheet="1" objects="1" scenarios="1"/>
  <mergeCells count="17">
    <mergeCell ref="B11:D11"/>
    <mergeCell ref="H11:J11"/>
    <mergeCell ref="H63:J63"/>
    <mergeCell ref="I57:J57"/>
    <mergeCell ref="I58:J58"/>
    <mergeCell ref="B59:D59"/>
    <mergeCell ref="H59:J59"/>
    <mergeCell ref="K1:K2"/>
    <mergeCell ref="H60:J60"/>
    <mergeCell ref="H61:J61"/>
    <mergeCell ref="H62:J62"/>
    <mergeCell ref="H12:J12"/>
    <mergeCell ref="H13:J13"/>
    <mergeCell ref="H14:J14"/>
    <mergeCell ref="H15:J15"/>
    <mergeCell ref="I9:J9"/>
    <mergeCell ref="I10:J10"/>
  </mergeCells>
  <printOptions/>
  <pageMargins left="0.75" right="0.75" top="1" bottom="1" header="0.5" footer="0.5"/>
  <pageSetup fitToHeight="1" fitToWidth="1" orientation="portrait" scale="92" r:id="rId2"/>
  <headerFooter alignWithMargins="0">
    <oddFooter>&amp;LIowa Beef Center&amp;R&amp;D</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I23" sqref="I23"/>
    </sheetView>
  </sheetViews>
  <sheetFormatPr defaultColWidth="9.140625" defaultRowHeight="12.75"/>
  <cols>
    <col min="1" max="16384" width="9.140625" style="126" customWidth="1"/>
  </cols>
  <sheetData/>
  <sheetProtection password="86A6" sheet="1" objects="1" scenario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Garland RJ Dahlke</dc:creator>
  <cp:keywords/>
  <dc:description/>
  <cp:lastModifiedBy>Joseph Montgomery</cp:lastModifiedBy>
  <cp:lastPrinted>2007-02-23T17:59:45Z</cp:lastPrinted>
  <dcterms:created xsi:type="dcterms:W3CDTF">2006-11-08T20:18:33Z</dcterms:created>
  <dcterms:modified xsi:type="dcterms:W3CDTF">2018-02-22T19:04:40Z</dcterms:modified>
  <cp:category/>
  <cp:version/>
  <cp:contentType/>
  <cp:contentStatus/>
</cp:coreProperties>
</file>